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cascante\Downloads\"/>
    </mc:Choice>
  </mc:AlternateContent>
  <xr:revisionPtr revIDLastSave="0" documentId="13_ncr:1_{335FDF14-C14A-438F-971F-FFA924B0F7DC}" xr6:coauthVersionLast="47" xr6:coauthVersionMax="47" xr10:uidLastSave="{00000000-0000-0000-0000-000000000000}"/>
  <bookViews>
    <workbookView xWindow="-120" yWindow="-120" windowWidth="29040" windowHeight="15720" tabRatio="737" xr2:uid="{00000000-000D-0000-FFFF-FFFF00000000}"/>
  </bookViews>
  <sheets>
    <sheet name="Supuestos" sheetId="23" r:id="rId1"/>
    <sheet name="CAPM-WACC" sheetId="27" r:id="rId2"/>
    <sheet name="GOA" sheetId="7" r:id="rId3"/>
    <sheet name="GFA" sheetId="16" r:id="rId4"/>
    <sheet name="Qn" sheetId="14" r:id="rId5"/>
    <sheet name="CAx" sheetId="10" r:id="rId6"/>
    <sheet name="DF" sheetId="19" r:id="rId7"/>
    <sheet name="Pat" sheetId="20" r:id="rId8"/>
    <sheet name="Pt" sheetId="28" r:id="rId9"/>
    <sheet name="Kd" sheetId="21" r:id="rId10"/>
    <sheet name="PA" sheetId="25" r:id="rId11"/>
    <sheet name="t" sheetId="26" r:id="rId12"/>
    <sheet name="Calculo de Tarifas" sheetId="6" r:id="rId13"/>
    <sheet name="Tarifas Propuestas" sheetId="1" r:id="rId14"/>
    <sheet name="Adjuntos" sheetId="4" r:id="rId15"/>
  </sheets>
  <externalReferences>
    <externalReference r:id="rId16"/>
  </externalReferences>
  <definedNames>
    <definedName name="_xlnm.Print_Area" localSheetId="1">'CAPM-WACC'!$A$1:$H$47</definedName>
    <definedName name="IPCEU">[1]Hoja1!$P$10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27" l="1"/>
  <c r="C29" i="27"/>
  <c r="E11" i="27"/>
  <c r="E12" i="27"/>
  <c r="G26" i="28"/>
  <c r="G19" i="28"/>
  <c r="G28" i="28" l="1"/>
  <c r="B4" i="26" l="1"/>
  <c r="B3" i="26"/>
  <c r="B4" i="25"/>
  <c r="B3" i="25"/>
  <c r="B3" i="28"/>
  <c r="B3" i="20"/>
  <c r="B3" i="19" l="1"/>
  <c r="B4" i="10"/>
  <c r="B3" i="10"/>
  <c r="B3" i="14"/>
  <c r="B4" i="16"/>
  <c r="B3" i="16"/>
  <c r="B3" i="7"/>
  <c r="B4" i="14"/>
  <c r="B6" i="10" l="1"/>
  <c r="E16" i="16" l="1"/>
  <c r="F15" i="16"/>
  <c r="F16" i="7"/>
  <c r="E17" i="7"/>
  <c r="B11" i="21"/>
  <c r="B10" i="21"/>
  <c r="B9" i="21"/>
  <c r="F11" i="21"/>
  <c r="F10" i="21"/>
  <c r="F9" i="21"/>
  <c r="D21" i="16"/>
  <c r="D22" i="7"/>
  <c r="F12" i="14" l="1"/>
  <c r="J51" i="27"/>
  <c r="J49" i="27"/>
  <c r="C46" i="27"/>
  <c r="F45" i="27"/>
  <c r="D45" i="27"/>
  <c r="F44" i="27"/>
  <c r="D44" i="27"/>
  <c r="C35" i="27"/>
  <c r="C30" i="27"/>
  <c r="C23" i="27" l="1"/>
  <c r="C25" i="27" s="1"/>
  <c r="E13" i="27" s="1"/>
  <c r="E14" i="27" s="1"/>
  <c r="E13" i="16"/>
  <c r="F13" i="16" s="1"/>
  <c r="F24" i="6"/>
  <c r="B5" i="16"/>
  <c r="G11" i="10"/>
  <c r="F11" i="10"/>
  <c r="E11" i="10"/>
  <c r="E16" i="27" l="1"/>
  <c r="E17" i="27" s="1"/>
  <c r="E19" i="27" s="1"/>
  <c r="H45" i="27" l="1"/>
  <c r="J52" i="27"/>
  <c r="J45" i="27"/>
  <c r="G11" i="19" l="1"/>
  <c r="F8" i="21" l="1"/>
  <c r="B6" i="26" l="1"/>
  <c r="B6" i="25"/>
  <c r="G15" i="20"/>
  <c r="E14" i="7" l="1"/>
  <c r="H12" i="10"/>
  <c r="F16" i="21"/>
  <c r="D50" i="27" s="1"/>
  <c r="F15" i="7" l="1"/>
  <c r="F14" i="16"/>
  <c r="F48" i="6"/>
  <c r="J50" i="27"/>
  <c r="J53" i="27" s="1"/>
  <c r="H44" i="27"/>
  <c r="F22" i="7"/>
  <c r="F14" i="7"/>
  <c r="J44" i="27" l="1"/>
  <c r="J46" i="27"/>
  <c r="E21" i="16"/>
  <c r="F21" i="16"/>
  <c r="E22" i="7"/>
  <c r="E37" i="16" l="1"/>
  <c r="E37" i="7"/>
  <c r="F37" i="7" s="1"/>
  <c r="F37" i="16" s="1"/>
  <c r="H24" i="6"/>
  <c r="H45" i="6"/>
  <c r="H48" i="6"/>
  <c r="H21" i="6"/>
  <c r="G21" i="16"/>
  <c r="G22" i="7"/>
  <c r="E38" i="16" l="1"/>
  <c r="G37" i="7"/>
  <c r="G37" i="16" s="1"/>
  <c r="E14" i="14" l="1"/>
  <c r="D14" i="14"/>
  <c r="C14" i="14"/>
  <c r="F14" i="14"/>
  <c r="C22" i="16"/>
  <c r="G10" i="16"/>
  <c r="C23" i="7"/>
  <c r="G10" i="7"/>
  <c r="F22" i="16" l="1"/>
  <c r="F26" i="7" s="1"/>
  <c r="F45" i="6" s="1"/>
  <c r="E22" i="16"/>
  <c r="E26" i="7" s="1"/>
  <c r="F23" i="7" l="1"/>
  <c r="F25" i="16" s="1"/>
  <c r="G23" i="7" l="1"/>
  <c r="G25" i="16" s="1"/>
  <c r="E23" i="7"/>
  <c r="F21" i="6" s="1"/>
  <c r="G22" i="16"/>
  <c r="E25" i="16" l="1"/>
  <c r="F38" i="16" l="1"/>
  <c r="E51" i="6"/>
  <c r="C9" i="1" l="1"/>
  <c r="F13" i="7" s="1"/>
  <c r="G38" i="16"/>
  <c r="F12" i="16" l="1"/>
  <c r="F18" i="16" s="1"/>
  <c r="F26" i="16" s="1"/>
  <c r="F19" i="7"/>
  <c r="F27" i="7" s="1"/>
  <c r="F27" i="6"/>
  <c r="C8" i="1" s="1"/>
  <c r="E13" i="7" s="1"/>
  <c r="E19" i="7" s="1"/>
  <c r="G26" i="7"/>
  <c r="F28" i="16" l="1"/>
  <c r="D33" i="16" s="1"/>
  <c r="E12" i="16"/>
  <c r="E18" i="16" s="1"/>
  <c r="F29" i="7"/>
  <c r="D33" i="7" s="1"/>
  <c r="F30" i="7" l="1"/>
  <c r="E33" i="7" s="1"/>
  <c r="D34" i="7" s="1"/>
  <c r="F29" i="16"/>
  <c r="G18" i="16"/>
  <c r="G26" i="16" s="1"/>
  <c r="G28" i="16" s="1"/>
  <c r="F33" i="16" s="1"/>
  <c r="E26" i="16"/>
  <c r="E28" i="16" s="1"/>
  <c r="B33" i="16" s="1"/>
  <c r="G19" i="7"/>
  <c r="G27" i="7" s="1"/>
  <c r="G29" i="7" s="1"/>
  <c r="F33" i="7" s="1"/>
  <c r="E27" i="7"/>
  <c r="F31" i="7" l="1"/>
  <c r="F30" i="16"/>
  <c r="E33" i="16"/>
  <c r="D34" i="16" s="1"/>
  <c r="G29" i="16"/>
  <c r="G33" i="16" s="1"/>
  <c r="F34" i="16" s="1"/>
  <c r="E29" i="7"/>
  <c r="B33" i="7" s="1"/>
  <c r="G30" i="7"/>
  <c r="G33" i="7" s="1"/>
  <c r="F34" i="7" s="1"/>
  <c r="E29" i="16"/>
  <c r="E30" i="16" s="1"/>
  <c r="E30" i="7" l="1"/>
  <c r="C33" i="7" s="1"/>
  <c r="B34" i="7" s="1"/>
  <c r="G30" i="16"/>
  <c r="G31" i="7"/>
  <c r="C33" i="16"/>
  <c r="B34" i="16" s="1"/>
  <c r="E31" i="7" l="1"/>
  <c r="B4" i="1" l="1"/>
  <c r="B4" i="6"/>
  <c r="B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Joselyn Gurdian Tenorio</author>
  </authors>
  <commentList>
    <comment ref="B4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Joselyn Gurdian Tenorio:</t>
        </r>
        <r>
          <rPr>
            <sz val="9"/>
            <color indexed="81"/>
            <rFont val="Tahoma"/>
            <family val="2"/>
          </rPr>
          <t xml:space="preserve">
Solo la porción a largo plazo</t>
        </r>
      </text>
    </comment>
  </commentList>
</comments>
</file>

<file path=xl/sharedStrings.xml><?xml version="1.0" encoding="utf-8"?>
<sst xmlns="http://schemas.openxmlformats.org/spreadsheetml/2006/main" count="338" uniqueCount="225">
  <si>
    <t>Matrícula por Cuatrimestre</t>
  </si>
  <si>
    <t>Materia</t>
  </si>
  <si>
    <t>GRADO ACADÉMICO</t>
  </si>
  <si>
    <t>x</t>
  </si>
  <si>
    <t>Información Presentada</t>
  </si>
  <si>
    <t>Fuente de Información</t>
  </si>
  <si>
    <t xml:space="preserve">Gastos Operacionales </t>
  </si>
  <si>
    <t xml:space="preserve">Documento certificado por un Contador Público Autorizado </t>
  </si>
  <si>
    <t xml:space="preserve">Gastos financieros </t>
  </si>
  <si>
    <t xml:space="preserve">Documento de Proyección aportado por la Universidad </t>
  </si>
  <si>
    <t>Gastos Operacionales</t>
  </si>
  <si>
    <t xml:space="preserve"> Expresado en colones costarricenses</t>
  </si>
  <si>
    <t>Ingresos</t>
  </si>
  <si>
    <t>Matrícula</t>
  </si>
  <si>
    <t>Colegiatura</t>
  </si>
  <si>
    <t>Total</t>
  </si>
  <si>
    <t>Total Gastos de Operacionales</t>
  </si>
  <si>
    <t>Total Gastos Financieros</t>
  </si>
  <si>
    <t>Utilidad antes de Impuestos</t>
  </si>
  <si>
    <t>Tasa de Impuesto sobre Renta</t>
  </si>
  <si>
    <t>Impuesto sobre la Renta</t>
  </si>
  <si>
    <t>Utilidad Neta</t>
  </si>
  <si>
    <t>R</t>
  </si>
  <si>
    <t>Gastos Financieros</t>
  </si>
  <si>
    <t>Total Gastos Operacionales</t>
  </si>
  <si>
    <t>Carga Académica Promedio</t>
  </si>
  <si>
    <t>Promedio de materias matriculadas por estudiante en función de la carrera, periodicidad y grado académico que cursa</t>
  </si>
  <si>
    <t>Promedio</t>
  </si>
  <si>
    <t>Referencia</t>
  </si>
  <si>
    <t>Cax</t>
  </si>
  <si>
    <t>Solicitud de Tarifas Carreras Nuevas - Matrícula</t>
  </si>
  <si>
    <t>Solicitud de Tarifas Carreras Nuevas - Colegiatura</t>
  </si>
  <si>
    <t>((Gastos Operacionales Acumulados por Matrícula + Gastos Financieros Acumulados por Matrícula)(1-Tasa impuesto sobre la Renta)) (1+ Tasa de Rentabilidad Mínima Establecida para la Inversión)</t>
  </si>
  <si>
    <t>(Cantidad de Estudiantes que se pronostica matriculará en la Nueva Carrera en un año * Periodicidad en un año del cobro de matrícula)(1-Tasa impuesto sobre la Renta) - (Tasa de Rentabilidad Mínima Establecida para la Inversión * Tasa Impuesto sobre la Renta)</t>
  </si>
  <si>
    <t>Tarifa Matrícula (TM):</t>
  </si>
  <si>
    <t>((Gastos Operacionales Acumulados por Colegiatura + Gastos Financieros Acumulados por Colegiatura)(1-Tasa impuesto sobre la Renta)) (1+ Tasa de Rentabilidad Mínima Establecida para la Inversión)</t>
  </si>
  <si>
    <t>(Cantidad de Estudiantes que se pronostica matriculará en la Nueva Carrera en un año * Carga Académica: promedio de materias matriculadas por estudiante en función de la carrera, periodicidad y grado académico que cursa)(1-Tasa impuesto sobre la Renta) - (Tasa de Rentabilidad Mínima Establecida para la Inversión * Tasa Impuesto sobre la Renta)</t>
  </si>
  <si>
    <t>Tarifa Colegiatura (TC):</t>
  </si>
  <si>
    <t>Cantidad de Estudiantes</t>
  </si>
  <si>
    <t>Qn</t>
  </si>
  <si>
    <t>PA</t>
  </si>
  <si>
    <t>Carga académica promedio</t>
  </si>
  <si>
    <t>GOA</t>
  </si>
  <si>
    <t>GFA</t>
  </si>
  <si>
    <t>Cantidad Promedio de Estudiantes por Carrera y Grado</t>
  </si>
  <si>
    <t>Proporcionalidad Matrícula y Colegiatura</t>
  </si>
  <si>
    <t>Nueva Tarifa</t>
  </si>
  <si>
    <t>Cantidad de estudiantes</t>
  </si>
  <si>
    <t>TM</t>
  </si>
  <si>
    <t>Periodos Académicos por Año</t>
  </si>
  <si>
    <t>Proporcionalidad</t>
  </si>
  <si>
    <t>Por Estudiante</t>
  </si>
  <si>
    <t xml:space="preserve">Supuestos de Proyección de Estudiantes </t>
  </si>
  <si>
    <t>Gasto Por Estudiante</t>
  </si>
  <si>
    <t>Descripción</t>
  </si>
  <si>
    <t>Deuda Financiera</t>
  </si>
  <si>
    <t>PRESTAMOS POR PAGAR A LARGO PLAZO</t>
  </si>
  <si>
    <t>Patrimonio</t>
  </si>
  <si>
    <t>Capital Contable</t>
  </si>
  <si>
    <t xml:space="preserve">Aporte de Capital </t>
  </si>
  <si>
    <t>Reserva Legal</t>
  </si>
  <si>
    <t>Utilidades Retenidas</t>
  </si>
  <si>
    <t>Resultados del Periodo</t>
  </si>
  <si>
    <t>Fecha Formalización</t>
  </si>
  <si>
    <t>Intereses sobre Préstamos</t>
  </si>
  <si>
    <t>Tasa de Intereses promedio anual (Intereses sobre préstamos / préstamos por pagar)</t>
  </si>
  <si>
    <t>D/E Ratio</t>
  </si>
  <si>
    <t>Wi</t>
  </si>
  <si>
    <t>Ki</t>
  </si>
  <si>
    <t>Ws</t>
  </si>
  <si>
    <t>Ks</t>
  </si>
  <si>
    <t>Cálculo de Rentabilidad</t>
  </si>
  <si>
    <t>Documento certificado por un Contador Público Autorizado</t>
  </si>
  <si>
    <t>Costo de la deuda antes de impuestos</t>
  </si>
  <si>
    <t>DF</t>
  </si>
  <si>
    <t>Pat</t>
  </si>
  <si>
    <t>Dato</t>
  </si>
  <si>
    <t xml:space="preserve">Indicadores suministrados por el CONESUP </t>
  </si>
  <si>
    <t>Riesgo País CR</t>
  </si>
  <si>
    <t>Prima Inversión en Acciones</t>
  </si>
  <si>
    <t>Castigo (Premio) Riesgo Industria</t>
  </si>
  <si>
    <t>Costo de capital en US$, antes de ajustes</t>
  </si>
  <si>
    <t>Ajustes para mercados emergentes:</t>
  </si>
  <si>
    <t>Costo de capital en US$ para inversión en compañía objetivo en Costa Rica</t>
  </si>
  <si>
    <t>Devaluación promedio Colón vrs US$</t>
  </si>
  <si>
    <t>Reserva en Valuación de Inversiones</t>
  </si>
  <si>
    <t>Detalle</t>
  </si>
  <si>
    <t>Retorno Anual S&amp;P 500 1928-2019 - Promedio Aritmético</t>
  </si>
  <si>
    <t>A</t>
  </si>
  <si>
    <t>Rendimiento Bonos de Deuda Soberana CR - bde45</t>
  </si>
  <si>
    <t>B</t>
  </si>
  <si>
    <t>Rendimiento Bonos del Tesoro EUA - 30 años</t>
  </si>
  <si>
    <t>C</t>
  </si>
  <si>
    <t>D</t>
  </si>
  <si>
    <t>D= B-C</t>
  </si>
  <si>
    <t>E</t>
  </si>
  <si>
    <t>E=A-C</t>
  </si>
  <si>
    <t>F</t>
  </si>
  <si>
    <t>F = (E*O)-E</t>
  </si>
  <si>
    <t>G</t>
  </si>
  <si>
    <t>G = C+D+E+F</t>
  </si>
  <si>
    <t>Diferencial por inflación Costa Rica vrs EUA - Ajuste al riesgo Soberano</t>
  </si>
  <si>
    <t>H</t>
  </si>
  <si>
    <t>H = ((((1+G)*U))-1)-G</t>
  </si>
  <si>
    <t>I</t>
  </si>
  <si>
    <t>I = G+H</t>
  </si>
  <si>
    <t>J</t>
  </si>
  <si>
    <t>Se toma de los indicadores</t>
  </si>
  <si>
    <t>Costo de capital nominal en Colones para inversión en compañía objetivo en Costa  Rica</t>
  </si>
  <si>
    <t>K</t>
  </si>
  <si>
    <t>K = ((1+I)*(1+J))-1</t>
  </si>
  <si>
    <t>Beta apalancado</t>
  </si>
  <si>
    <t>Beta Desapal.</t>
  </si>
  <si>
    <t>L</t>
  </si>
  <si>
    <t>M</t>
  </si>
  <si>
    <t>Tax rate</t>
  </si>
  <si>
    <t>N</t>
  </si>
  <si>
    <t>Beta Apal.</t>
  </si>
  <si>
    <t>O</t>
  </si>
  <si>
    <t>O = L*((1+(1-N)*M))</t>
  </si>
  <si>
    <t>Razón D/E</t>
  </si>
  <si>
    <t>P</t>
  </si>
  <si>
    <t>Q</t>
  </si>
  <si>
    <t>R = P/Q</t>
  </si>
  <si>
    <t>Multiplicador de Variación (MV)</t>
  </si>
  <si>
    <t>(inflación CR y USA)</t>
  </si>
  <si>
    <t>𝜋𝐶R</t>
  </si>
  <si>
    <t>S</t>
  </si>
  <si>
    <t>𝜋USA</t>
  </si>
  <si>
    <t>T</t>
  </si>
  <si>
    <t>MV</t>
  </si>
  <si>
    <t>U</t>
  </si>
  <si>
    <t>U =(1+S)/(1+T)</t>
  </si>
  <si>
    <t>WACC</t>
  </si>
  <si>
    <t>Fuente de financiamiento</t>
  </si>
  <si>
    <t>Saldo</t>
  </si>
  <si>
    <t>Peso</t>
  </si>
  <si>
    <t>Costo</t>
  </si>
  <si>
    <t>Deuda financiera</t>
  </si>
  <si>
    <t>Proyección de Estados de Resultados</t>
  </si>
  <si>
    <t>Gasto Total</t>
  </si>
  <si>
    <t>Cálculo de Rentabilidad Matrícula</t>
  </si>
  <si>
    <t>Cálculo de Rentabilidad Colegiatura</t>
  </si>
  <si>
    <t xml:space="preserve"> Cálculo de Rentabilidad Total</t>
  </si>
  <si>
    <t xml:space="preserve">Grado </t>
  </si>
  <si>
    <t>Nueva Tarifa Matrícula 2022:</t>
  </si>
  <si>
    <t>Tarifa Matrícula 2022 (Nuevas Carreras):</t>
  </si>
  <si>
    <t xml:space="preserve">Superavit por Revaluación de Activos </t>
  </si>
  <si>
    <t>Bachillerato</t>
  </si>
  <si>
    <t>Total 2023</t>
  </si>
  <si>
    <t xml:space="preserve">BACHILLERATO </t>
  </si>
  <si>
    <t>Xi</t>
  </si>
  <si>
    <t>Xs</t>
  </si>
  <si>
    <t>Universidad XXX</t>
  </si>
  <si>
    <r>
      <rPr>
        <b/>
        <sz val="12"/>
        <color theme="1"/>
        <rFont val="Times New Roman"/>
        <family val="1"/>
      </rPr>
      <t>Fuente:</t>
    </r>
    <r>
      <rPr>
        <sz val="12"/>
        <color theme="1"/>
        <rFont val="Times New Roman"/>
        <family val="1"/>
      </rPr>
      <t xml:space="preserve"> Cálculo del Departamento Financiero de la Universidad XXX.</t>
    </r>
  </si>
  <si>
    <t>Documentos Probatorios Universidad XXX</t>
  </si>
  <si>
    <t>Nueva Carrera - Bachillerato en XXX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</si>
  <si>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Cálculo del departamento financiero de la Universidad XXX. </t>
    </r>
  </si>
  <si>
    <t xml:space="preserve">Proyección de Cantidad Promedio de Estudiantes </t>
  </si>
  <si>
    <r>
      <rPr>
        <b/>
        <sz val="12"/>
        <color theme="1"/>
        <rFont val="Times New Roman"/>
        <family val="1"/>
      </rPr>
      <t>Fuente:</t>
    </r>
    <r>
      <rPr>
        <sz val="12"/>
        <color theme="1"/>
        <rFont val="Times New Roman"/>
        <family val="1"/>
      </rPr>
      <t xml:space="preserve"> Cálculo del departamento financiero de la Universidad XXX.</t>
    </r>
  </si>
  <si>
    <r>
      <rPr>
        <b/>
        <sz val="12"/>
        <color theme="1"/>
        <rFont val="Times New Roman"/>
        <family val="1"/>
      </rPr>
      <t>Fuente:</t>
    </r>
    <r>
      <rPr>
        <sz val="12"/>
        <color theme="1"/>
        <rFont val="Times New Roman"/>
        <family val="1"/>
      </rPr>
      <t xml:space="preserve"> Cálculo del departamento financiero de la Universidad XXX..</t>
    </r>
  </si>
  <si>
    <t>Costo de Deuda antes de Impuesto</t>
  </si>
  <si>
    <t>Periodos académicos en un año</t>
  </si>
  <si>
    <t>El año académico suele dividirse en uno o varios periodos</t>
  </si>
  <si>
    <r>
      <rPr>
        <b/>
        <sz val="12"/>
        <color theme="1"/>
        <rFont val="Times New Roman"/>
        <family val="1"/>
      </rPr>
      <t>Fuente:</t>
    </r>
    <r>
      <rPr>
        <sz val="12"/>
        <color theme="1"/>
        <rFont val="Times New Roman"/>
        <family val="1"/>
      </rPr>
      <t xml:space="preserve"> Cálculo del departamento financiero de la Universidad XXX. </t>
    </r>
  </si>
  <si>
    <t>Periodicidad matrícula</t>
  </si>
  <si>
    <t>Periodicidad en un año del cobro de matrícula</t>
  </si>
  <si>
    <t>Nueva Tarifa Curso 2022:</t>
  </si>
  <si>
    <t>NuevaTarifa Curso 2022:</t>
  </si>
  <si>
    <t>Cálculo de Modelo de Valoración de Activos de Capital (Capital Asset Pricing Model, CAPM)</t>
  </si>
  <si>
    <t>Razón D/E = Razón de deuda a patrimonio</t>
  </si>
  <si>
    <t>Datos Universidad, Patrimonio Neto</t>
  </si>
  <si>
    <t>Costo Promedio Ponderado del Capital (Weigh Average Cost of Capital, WACC)</t>
  </si>
  <si>
    <t>IPC de la Educación Universitaria</t>
  </si>
  <si>
    <t>Proporción del pasivo</t>
  </si>
  <si>
    <t>Costo ponderado de la deuda financiera, en Colones (antes de impuesto )=Kd</t>
  </si>
  <si>
    <t>Costo de la deuda financiera desp. Imps</t>
  </si>
  <si>
    <t>Proporción del patrimonio</t>
  </si>
  <si>
    <t>Costo de capital propio obtenido del CAPM</t>
  </si>
  <si>
    <t>Kd</t>
  </si>
  <si>
    <t>CAPM</t>
  </si>
  <si>
    <t xml:space="preserve">Modelo de valoración de activos de capital </t>
  </si>
  <si>
    <t xml:space="preserve">Costo Promedio Ponderado del Capital </t>
  </si>
  <si>
    <t>Deuda Financiera a Largo Plazo</t>
  </si>
  <si>
    <t>Periodos académicos</t>
  </si>
  <si>
    <t>t</t>
  </si>
  <si>
    <t>Periodicidad  cobro de matrícula</t>
  </si>
  <si>
    <t>Leasing a Largo Plazo-A</t>
  </si>
  <si>
    <t>Prestamo-B</t>
  </si>
  <si>
    <t>Prestamo-A</t>
  </si>
  <si>
    <t>Datos Universidad, Pasivo Total</t>
  </si>
  <si>
    <t>Pasivo Total</t>
  </si>
  <si>
    <t>Pt</t>
  </si>
  <si>
    <r>
      <t>Deuda (</t>
    </r>
    <r>
      <rPr>
        <sz val="11"/>
        <color rgb="FFFF0000"/>
        <rFont val="Century"/>
        <family val="1"/>
      </rPr>
      <t>Pasivo Total)</t>
    </r>
  </si>
  <si>
    <t>Datos Universidad= Pasivo Total /Patrimonio Neto (Resultado de R)</t>
  </si>
  <si>
    <t>Estado de Resultados - Carrera XXX</t>
  </si>
  <si>
    <t>UNIVERSIDAD XXX</t>
  </si>
  <si>
    <t>Cuentas por pagar Proveedores</t>
  </si>
  <si>
    <t xml:space="preserve">Cuenta por pagar Notas de Crédito </t>
  </si>
  <si>
    <t>Porción Circulante Financiamiento Bancario</t>
  </si>
  <si>
    <t>Retenciones por pagar</t>
  </si>
  <si>
    <t>Gastos acumulados por pagar</t>
  </si>
  <si>
    <t>IVA por pagar</t>
  </si>
  <si>
    <t xml:space="preserve">Provisiones Por Pagar </t>
  </si>
  <si>
    <t xml:space="preserve">Leasing x Pagar CP </t>
  </si>
  <si>
    <t xml:space="preserve">Financiamiento Bancario CP </t>
  </si>
  <si>
    <t>Ingreso Diferido (matrículas-colegiaturas)</t>
  </si>
  <si>
    <t xml:space="preserve">Leasing x pagar LP </t>
  </si>
  <si>
    <t>Financiamiento relacionadas</t>
  </si>
  <si>
    <t>Imp Renta Diferido y por pagar</t>
  </si>
  <si>
    <t xml:space="preserve">Financiamiento Bancario LP </t>
  </si>
  <si>
    <t>PASIVO CORRIENTE</t>
  </si>
  <si>
    <t>TOTAL PASIVO CORRIENTE</t>
  </si>
  <si>
    <t>PASIVO NO CORRIENTES</t>
  </si>
  <si>
    <t>TOTAL PASIVO NO CORRIENTE</t>
  </si>
  <si>
    <t>TOTAL PASIVO</t>
  </si>
  <si>
    <t>Del 01 de Octubre 2022 al 30 de Setiembre 2023</t>
  </si>
  <si>
    <t>Documentos Probatorios 2024</t>
  </si>
  <si>
    <t>IC 2024</t>
  </si>
  <si>
    <t>IIC 2024</t>
  </si>
  <si>
    <t>IIIC 2024</t>
  </si>
  <si>
    <t>Monto</t>
  </si>
  <si>
    <t>Cantidad</t>
  </si>
  <si>
    <t>Resumen Cálculos de Solicitud de Nuevas Tarifas Universidad XXX 2024</t>
  </si>
  <si>
    <t>Solicitud de Tarifas Universidad XXX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</si>
</sst>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(* #,##0.00_);_(* \(#,##0.00\);_(* &quot;-&quot;??_);_(@_)"/>
    <numFmt numFmtId="165" formatCode="_-&quot;$&quot;* #,##0.00_-;\-&quot;$&quot;* #,##0.00_-;_-&quot;$&quot;* &quot;-&quot;??_-;_-@_-"/>
    <numFmt numFmtId="166" formatCode="_-[$₡-140A]* #,##0.00_-;\-[$₡-140A]* #,##0.00_-;_-[$₡-140A]* &quot;-&quot;??_-;_-@_-"/>
    <numFmt numFmtId="167" formatCode="_(* #,##0.000_);_(* \(#,##0.000\);_(* &quot;-&quot;??_);_(@_)"/>
    <numFmt numFmtId="168" formatCode="_(* #,##0_);_(* \(#,##0\);_(* &quot;-&quot;??_);_(@_)"/>
    <numFmt numFmtId="169" formatCode="_-[$₡-140A]* #,##0_-;\-[$₡-140A]* #,##0_-;_-[$₡-140A]* &quot;-&quot;??_-;_-@_-"/>
    <numFmt numFmtId="170" formatCode="0.000%"/>
    <numFmt numFmtId="171" formatCode="_(* #,##0.0000_);_(* \(#,##0.0000\);_(* &quot;-&quot;??_);_(@_)"/>
    <numFmt numFmtId="172" formatCode="0.0%"/>
    <numFmt numFmtId="173" formatCode="_-* #,##0.00\ &quot;€&quot;_-;\-* #,##0.00\ &quot;€&quot;_-;_-* &quot;-&quot;??\ &quot;€&quot;_-;_-@_-"/>
    <numFmt numFmtId="174" formatCode="_-* #,##0.00\ _€_-;\-* #,##0.00\ _€_-;_-* &quot;-&quot;??\ _€_-;_-@_-"/>
    <numFmt numFmtId="175" formatCode="&quot;₡&quot;#,##0.00"/>
    <numFmt numFmtId="177" formatCode="_-* #,##0_-;\-* #,##0_-;_-* &quot;-&quot;_-;_-@_-"/>
    <numFmt numFmtId="178" formatCode="_-&quot;₡&quot;* #,##0.00_-;\-&quot;₡&quot;* #,##0.00_-;_-&quot;₡&quot;* &quot;-&quot;??_-;_-@_-"/>
    <numFmt numFmtId="179" formatCode="_-* #,##0.00_-;\-* #,##0.0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7"/>
      <name val="Times New Roman"/>
      <family val="1"/>
    </font>
    <font>
      <b/>
      <sz val="18"/>
      <color theme="1"/>
      <name val="Times New Roman"/>
      <family val="1"/>
    </font>
    <font>
      <b/>
      <sz val="14"/>
      <color theme="7"/>
      <name val="Times New Roman"/>
      <family val="1"/>
    </font>
    <font>
      <sz val="14"/>
      <color theme="1"/>
      <name val="Times New Roman"/>
      <family val="1"/>
    </font>
    <font>
      <b/>
      <sz val="11"/>
      <color theme="7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rgb="FFFFC000"/>
      <name val="Times New Roman"/>
      <family val="1"/>
    </font>
    <font>
      <b/>
      <sz val="1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7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entury"/>
      <family val="1"/>
    </font>
    <font>
      <sz val="10"/>
      <color theme="1"/>
      <name val="Century"/>
      <family val="1"/>
    </font>
    <font>
      <b/>
      <sz val="18"/>
      <color theme="1"/>
      <name val="Century"/>
      <family val="1"/>
    </font>
    <font>
      <b/>
      <sz val="11"/>
      <color rgb="FFFFFFFF"/>
      <name val="Century"/>
      <family val="1"/>
    </font>
    <font>
      <b/>
      <sz val="11"/>
      <color theme="1"/>
      <name val="Century"/>
      <family val="1"/>
    </font>
    <font>
      <sz val="11"/>
      <color rgb="FF000000"/>
      <name val="Century"/>
      <family val="1"/>
    </font>
    <font>
      <sz val="11"/>
      <color rgb="FF404040"/>
      <name val="Century"/>
      <family val="1"/>
    </font>
    <font>
      <b/>
      <sz val="14"/>
      <color theme="1"/>
      <name val="Century"/>
      <family val="1"/>
    </font>
    <font>
      <b/>
      <u/>
      <sz val="11"/>
      <color theme="1"/>
      <name val="Century"/>
      <family val="1"/>
    </font>
    <font>
      <sz val="11"/>
      <color rgb="FFFF0000"/>
      <name val="Century"/>
      <family val="1"/>
    </font>
    <font>
      <b/>
      <sz val="11"/>
      <color rgb="FF000000"/>
      <name val="Century"/>
      <family val="1"/>
    </font>
    <font>
      <b/>
      <sz val="14"/>
      <color rgb="FF000000"/>
      <name val="Century"/>
      <family val="1"/>
    </font>
    <font>
      <b/>
      <sz val="10"/>
      <color rgb="FF000000"/>
      <name val="Century"/>
      <family val="1"/>
    </font>
    <font>
      <b/>
      <sz val="16"/>
      <color rgb="FF000000"/>
      <name val="Century"/>
      <family val="1"/>
    </font>
    <font>
      <b/>
      <u/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0">
      <alignment vertical="top"/>
    </xf>
    <xf numFmtId="43" fontId="23" fillId="0" borderId="0" applyFont="0" applyFill="0" applyBorder="0" applyAlignment="0" applyProtection="0">
      <alignment vertical="top"/>
    </xf>
    <xf numFmtId="165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0">
      <alignment vertical="top"/>
    </xf>
    <xf numFmtId="43" fontId="23" fillId="0" borderId="0" applyFont="0" applyFill="0" applyBorder="0" applyAlignment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>
      <alignment vertical="top"/>
    </xf>
    <xf numFmtId="43" fontId="23" fillId="0" borderId="0" applyFont="0" applyFill="0" applyBorder="0" applyAlignment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23" fillId="0" borderId="0" applyFont="0" applyFill="0" applyBorder="0" applyAlignment="0" applyProtection="0">
      <alignment vertical="top"/>
    </xf>
    <xf numFmtId="0" fontId="23" fillId="0" borderId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top"/>
    </xf>
    <xf numFmtId="0" fontId="23" fillId="0" borderId="0">
      <alignment vertical="top"/>
    </xf>
    <xf numFmtId="43" fontId="23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9" fontId="23" fillId="0" borderId="0" applyFont="0" applyFill="0" applyBorder="0" applyAlignment="0" applyProtection="0">
      <alignment vertical="top"/>
    </xf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9" fontId="23" fillId="0" borderId="0" applyFont="0" applyFill="0" applyBorder="0" applyAlignment="0" applyProtection="0">
      <alignment vertical="top"/>
    </xf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3" fillId="0" borderId="0" applyFont="0" applyFill="0" applyBorder="0" applyAlignment="0" applyProtection="0">
      <alignment vertical="top"/>
    </xf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3" fillId="0" borderId="0" applyFont="0" applyFill="0" applyBorder="0" applyAlignment="0" applyProtection="0">
      <alignment vertical="top"/>
    </xf>
    <xf numFmtId="179" fontId="23" fillId="0" borderId="0" applyFont="0" applyFill="0" applyBorder="0" applyAlignment="0" applyProtection="0">
      <alignment vertical="top"/>
    </xf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2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164" fontId="3" fillId="0" borderId="0" xfId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4" fontId="3" fillId="0" borderId="0" xfId="0" applyNumberFormat="1" applyFont="1"/>
    <xf numFmtId="0" fontId="12" fillId="0" borderId="8" xfId="0" applyFont="1" applyBorder="1" applyAlignment="1">
      <alignment vertical="center" wrapText="1"/>
    </xf>
    <xf numFmtId="164" fontId="13" fillId="0" borderId="0" xfId="1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3" fillId="0" borderId="0" xfId="0" applyFont="1" applyAlignment="1">
      <alignment horizontal="center"/>
    </xf>
    <xf numFmtId="0" fontId="16" fillId="0" borderId="0" xfId="0" applyFont="1"/>
    <xf numFmtId="10" fontId="5" fillId="0" borderId="6" xfId="2" applyNumberFormat="1" applyFont="1" applyBorder="1"/>
    <xf numFmtId="0" fontId="3" fillId="0" borderId="0" xfId="0" applyFont="1" applyAlignment="1">
      <alignment horizontal="center"/>
    </xf>
    <xf numFmtId="164" fontId="3" fillId="0" borderId="0" xfId="1" applyFont="1" applyBorder="1" applyAlignment="1">
      <alignment horizontal="center" vertical="center"/>
    </xf>
    <xf numFmtId="164" fontId="3" fillId="0" borderId="0" xfId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43" fontId="3" fillId="0" borderId="0" xfId="0" applyNumberFormat="1" applyFont="1" applyAlignment="1">
      <alignment vertical="center"/>
    </xf>
    <xf numFmtId="164" fontId="3" fillId="0" borderId="0" xfId="1" applyFont="1" applyBorder="1" applyAlignment="1">
      <alignment vertical="center" wrapText="1"/>
    </xf>
    <xf numFmtId="43" fontId="13" fillId="0" borderId="0" xfId="0" applyNumberFormat="1" applyFont="1"/>
    <xf numFmtId="0" fontId="12" fillId="0" borderId="8" xfId="0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164" fontId="7" fillId="2" borderId="8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6" fillId="0" borderId="0" xfId="1" applyFont="1" applyAlignment="1">
      <alignment vertical="center"/>
    </xf>
    <xf numFmtId="9" fontId="6" fillId="0" borderId="0" xfId="2" applyFont="1" applyAlignment="1">
      <alignment vertical="center"/>
    </xf>
    <xf numFmtId="0" fontId="6" fillId="0" borderId="8" xfId="0" applyFont="1" applyBorder="1" applyAlignment="1">
      <alignment vertical="center"/>
    </xf>
    <xf numFmtId="166" fontId="6" fillId="0" borderId="8" xfId="1" applyNumberFormat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166" fontId="6" fillId="0" borderId="18" xfId="1" applyNumberFormat="1" applyFont="1" applyBorder="1" applyAlignment="1">
      <alignment vertical="center"/>
    </xf>
    <xf numFmtId="0" fontId="3" fillId="0" borderId="23" xfId="0" applyFont="1" applyBorder="1"/>
    <xf numFmtId="0" fontId="3" fillId="0" borderId="24" xfId="0" applyFont="1" applyBorder="1"/>
    <xf numFmtId="0" fontId="4" fillId="0" borderId="2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10" fontId="10" fillId="0" borderId="0" xfId="2" applyNumberFormat="1" applyFont="1" applyBorder="1"/>
    <xf numFmtId="0" fontId="10" fillId="0" borderId="24" xfId="0" applyFont="1" applyBorder="1" applyAlignment="1">
      <alignment vertical="center"/>
    </xf>
    <xf numFmtId="0" fontId="3" fillId="0" borderId="25" xfId="0" applyFont="1" applyBorder="1"/>
    <xf numFmtId="0" fontId="3" fillId="0" borderId="16" xfId="0" applyFont="1" applyBorder="1"/>
    <xf numFmtId="0" fontId="3" fillId="0" borderId="26" xfId="0" applyFont="1" applyBorder="1"/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24" xfId="1" applyFont="1" applyBorder="1" applyAlignment="1">
      <alignment vertical="center" wrapText="1"/>
    </xf>
    <xf numFmtId="164" fontId="10" fillId="0" borderId="0" xfId="1" applyFont="1" applyBorder="1"/>
    <xf numFmtId="166" fontId="3" fillId="0" borderId="16" xfId="0" applyNumberFormat="1" applyFont="1" applyBorder="1"/>
    <xf numFmtId="0" fontId="15" fillId="2" borderId="20" xfId="0" applyFont="1" applyFill="1" applyBorder="1" applyAlignment="1">
      <alignment horizontal="left"/>
    </xf>
    <xf numFmtId="164" fontId="15" fillId="2" borderId="21" xfId="1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164" fontId="15" fillId="2" borderId="22" xfId="1" applyFont="1" applyFill="1" applyBorder="1" applyAlignment="1">
      <alignment horizontal="center"/>
    </xf>
    <xf numFmtId="0" fontId="16" fillId="0" borderId="23" xfId="0" applyFont="1" applyBorder="1"/>
    <xf numFmtId="164" fontId="16" fillId="0" borderId="0" xfId="1" applyFont="1" applyBorder="1" applyAlignment="1">
      <alignment horizontal="center"/>
    </xf>
    <xf numFmtId="9" fontId="16" fillId="0" borderId="0" xfId="2" applyFont="1" applyBorder="1" applyAlignment="1">
      <alignment horizontal="center"/>
    </xf>
    <xf numFmtId="9" fontId="16" fillId="0" borderId="24" xfId="2" applyFont="1" applyBorder="1"/>
    <xf numFmtId="0" fontId="13" fillId="0" borderId="23" xfId="0" applyFont="1" applyBorder="1"/>
    <xf numFmtId="164" fontId="13" fillId="0" borderId="0" xfId="1" applyFont="1" applyBorder="1" applyAlignment="1">
      <alignment horizontal="center"/>
    </xf>
    <xf numFmtId="164" fontId="13" fillId="0" borderId="24" xfId="1" applyFont="1" applyBorder="1"/>
    <xf numFmtId="166" fontId="13" fillId="0" borderId="0" xfId="1" applyNumberFormat="1" applyFont="1" applyFill="1" applyBorder="1"/>
    <xf numFmtId="166" fontId="13" fillId="0" borderId="24" xfId="1" applyNumberFormat="1" applyFont="1" applyFill="1" applyBorder="1"/>
    <xf numFmtId="1" fontId="13" fillId="0" borderId="24" xfId="0" applyNumberFormat="1" applyFont="1" applyBorder="1"/>
    <xf numFmtId="164" fontId="13" fillId="0" borderId="0" xfId="1" applyFont="1" applyBorder="1"/>
    <xf numFmtId="0" fontId="15" fillId="2" borderId="23" xfId="0" applyFont="1" applyFill="1" applyBorder="1" applyAlignment="1">
      <alignment horizontal="left"/>
    </xf>
    <xf numFmtId="164" fontId="15" fillId="2" borderId="0" xfId="1" applyFont="1" applyFill="1" applyBorder="1" applyAlignment="1">
      <alignment horizontal="center" vertical="center"/>
    </xf>
    <xf numFmtId="164" fontId="15" fillId="2" borderId="24" xfId="1" applyFont="1" applyFill="1" applyBorder="1" applyAlignment="1">
      <alignment horizontal="center"/>
    </xf>
    <xf numFmtId="0" fontId="16" fillId="3" borderId="23" xfId="0" applyFont="1" applyFill="1" applyBorder="1"/>
    <xf numFmtId="9" fontId="13" fillId="0" borderId="24" xfId="0" applyNumberFormat="1" applyFont="1" applyBorder="1"/>
    <xf numFmtId="164" fontId="13" fillId="0" borderId="24" xfId="0" applyNumberFormat="1" applyFont="1" applyBorder="1"/>
    <xf numFmtId="164" fontId="5" fillId="0" borderId="0" xfId="1" applyFont="1" applyBorder="1" applyAlignment="1">
      <alignment horizontal="center"/>
    </xf>
    <xf numFmtId="10" fontId="5" fillId="0" borderId="27" xfId="2" applyNumberFormat="1" applyFont="1" applyBorder="1"/>
    <xf numFmtId="0" fontId="13" fillId="0" borderId="25" xfId="0" applyFont="1" applyBorder="1"/>
    <xf numFmtId="164" fontId="13" fillId="0" borderId="16" xfId="1" applyFont="1" applyBorder="1" applyAlignment="1">
      <alignment horizontal="center"/>
    </xf>
    <xf numFmtId="0" fontId="13" fillId="0" borderId="16" xfId="0" applyFont="1" applyBorder="1"/>
    <xf numFmtId="0" fontId="18" fillId="2" borderId="20" xfId="0" applyFont="1" applyFill="1" applyBorder="1"/>
    <xf numFmtId="0" fontId="18" fillId="2" borderId="21" xfId="0" applyFont="1" applyFill="1" applyBorder="1"/>
    <xf numFmtId="0" fontId="11" fillId="2" borderId="22" xfId="0" applyFont="1" applyFill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0" fontId="4" fillId="0" borderId="14" xfId="0" applyFont="1" applyBorder="1"/>
    <xf numFmtId="1" fontId="4" fillId="0" borderId="12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0" fontId="11" fillId="2" borderId="12" xfId="0" applyFont="1" applyFill="1" applyBorder="1"/>
    <xf numFmtId="0" fontId="11" fillId="2" borderId="29" xfId="0" applyFont="1" applyFill="1" applyBorder="1" applyAlignment="1">
      <alignment horizontal="center"/>
    </xf>
    <xf numFmtId="0" fontId="6" fillId="0" borderId="16" xfId="0" applyFont="1" applyBorder="1"/>
    <xf numFmtId="167" fontId="6" fillId="0" borderId="16" xfId="1" applyNumberFormat="1" applyFont="1" applyBorder="1"/>
    <xf numFmtId="164" fontId="6" fillId="0" borderId="16" xfId="1" applyFont="1" applyBorder="1"/>
    <xf numFmtId="164" fontId="6" fillId="0" borderId="26" xfId="1" applyFont="1" applyBorder="1"/>
    <xf numFmtId="0" fontId="18" fillId="2" borderId="20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3" fillId="4" borderId="23" xfId="0" applyFont="1" applyFill="1" applyBorder="1"/>
    <xf numFmtId="0" fontId="16" fillId="4" borderId="25" xfId="0" applyFont="1" applyFill="1" applyBorder="1"/>
    <xf numFmtId="0" fontId="16" fillId="4" borderId="16" xfId="0" applyFont="1" applyFill="1" applyBorder="1"/>
    <xf numFmtId="39" fontId="16" fillId="4" borderId="16" xfId="0" applyNumberFormat="1" applyFont="1" applyFill="1" applyBorder="1"/>
    <xf numFmtId="164" fontId="3" fillId="0" borderId="0" xfId="1" applyFont="1" applyFill="1" applyBorder="1"/>
    <xf numFmtId="168" fontId="16" fillId="0" borderId="6" xfId="0" applyNumberFormat="1" applyFont="1" applyBorder="1"/>
    <xf numFmtId="168" fontId="13" fillId="0" borderId="6" xfId="1" applyNumberFormat="1" applyFont="1" applyBorder="1"/>
    <xf numFmtId="168" fontId="16" fillId="0" borderId="13" xfId="0" applyNumberFormat="1" applyFont="1" applyBorder="1"/>
    <xf numFmtId="169" fontId="13" fillId="0" borderId="0" xfId="1" applyNumberFormat="1" applyFont="1" applyBorder="1"/>
    <xf numFmtId="169" fontId="13" fillId="0" borderId="24" xfId="1" applyNumberFormat="1" applyFont="1" applyBorder="1"/>
    <xf numFmtId="169" fontId="16" fillId="3" borderId="0" xfId="1" applyNumberFormat="1" applyFont="1" applyFill="1" applyBorder="1" applyAlignment="1">
      <alignment horizontal="center"/>
    </xf>
    <xf numFmtId="169" fontId="16" fillId="3" borderId="0" xfId="1" applyNumberFormat="1" applyFont="1" applyFill="1" applyBorder="1"/>
    <xf numFmtId="169" fontId="16" fillId="3" borderId="24" xfId="1" applyNumberFormat="1" applyFont="1" applyFill="1" applyBorder="1"/>
    <xf numFmtId="168" fontId="13" fillId="0" borderId="0" xfId="1" applyNumberFormat="1" applyFont="1" applyBorder="1"/>
    <xf numFmtId="168" fontId="13" fillId="0" borderId="24" xfId="1" applyNumberFormat="1" applyFont="1" applyBorder="1"/>
    <xf numFmtId="168" fontId="16" fillId="0" borderId="6" xfId="1" applyNumberFormat="1" applyFont="1" applyBorder="1"/>
    <xf numFmtId="168" fontId="16" fillId="0" borderId="27" xfId="1" applyNumberFormat="1" applyFont="1" applyBorder="1"/>
    <xf numFmtId="168" fontId="13" fillId="0" borderId="27" xfId="1" applyNumberFormat="1" applyFont="1" applyBorder="1"/>
    <xf numFmtId="168" fontId="16" fillId="0" borderId="13" xfId="1" applyNumberFormat="1" applyFont="1" applyBorder="1"/>
    <xf numFmtId="168" fontId="16" fillId="0" borderId="28" xfId="1" applyNumberFormat="1" applyFont="1" applyBorder="1"/>
    <xf numFmtId="169" fontId="16" fillId="0" borderId="0" xfId="1" applyNumberFormat="1" applyFont="1" applyBorder="1"/>
    <xf numFmtId="169" fontId="16" fillId="0" borderId="24" xfId="1" applyNumberFormat="1" applyFont="1" applyBorder="1"/>
    <xf numFmtId="37" fontId="13" fillId="4" borderId="24" xfId="0" applyNumberFormat="1" applyFont="1" applyFill="1" applyBorder="1"/>
    <xf numFmtId="37" fontId="3" fillId="0" borderId="24" xfId="0" applyNumberFormat="1" applyFont="1" applyBorder="1"/>
    <xf numFmtId="37" fontId="16" fillId="4" borderId="26" xfId="0" applyNumberFormat="1" applyFont="1" applyFill="1" applyBorder="1"/>
    <xf numFmtId="43" fontId="13" fillId="5" borderId="8" xfId="0" applyNumberFormat="1" applyFont="1" applyFill="1" applyBorder="1"/>
    <xf numFmtId="164" fontId="13" fillId="5" borderId="8" xfId="1" applyFont="1" applyFill="1" applyBorder="1"/>
    <xf numFmtId="164" fontId="13" fillId="0" borderId="16" xfId="1" applyFont="1" applyBorder="1"/>
    <xf numFmtId="164" fontId="13" fillId="0" borderId="26" xfId="1" applyFont="1" applyBorder="1"/>
    <xf numFmtId="1" fontId="3" fillId="0" borderId="16" xfId="0" applyNumberFormat="1" applyFont="1" applyBorder="1" applyAlignment="1">
      <alignment horizontal="center"/>
    </xf>
    <xf numFmtId="0" fontId="24" fillId="0" borderId="0" xfId="0" applyFont="1" applyAlignment="1">
      <alignment vertical="center"/>
    </xf>
    <xf numFmtId="168" fontId="22" fillId="0" borderId="24" xfId="1" applyNumberFormat="1" applyFont="1" applyFill="1" applyBorder="1" applyAlignment="1">
      <alignment vertical="top"/>
    </xf>
    <xf numFmtId="166" fontId="13" fillId="0" borderId="0" xfId="1" applyNumberFormat="1" applyFont="1" applyBorder="1"/>
    <xf numFmtId="0" fontId="8" fillId="0" borderId="20" xfId="0" applyFont="1" applyBorder="1"/>
    <xf numFmtId="164" fontId="13" fillId="0" borderId="21" xfId="1" applyFont="1" applyBorder="1" applyAlignment="1">
      <alignment horizontal="center"/>
    </xf>
    <xf numFmtId="0" fontId="8" fillId="0" borderId="21" xfId="0" applyFont="1" applyBorder="1"/>
    <xf numFmtId="0" fontId="13" fillId="0" borderId="21" xfId="0" applyFont="1" applyBorder="1"/>
    <xf numFmtId="0" fontId="0" fillId="0" borderId="22" xfId="0" applyBorder="1"/>
    <xf numFmtId="0" fontId="14" fillId="0" borderId="23" xfId="0" applyFont="1" applyBorder="1"/>
    <xf numFmtId="0" fontId="14" fillId="0" borderId="0" xfId="0" applyFont="1"/>
    <xf numFmtId="164" fontId="15" fillId="2" borderId="0" xfId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66" fontId="13" fillId="0" borderId="0" xfId="0" applyNumberFormat="1" applyFont="1"/>
    <xf numFmtId="1" fontId="13" fillId="0" borderId="0" xfId="0" applyNumberFormat="1" applyFont="1"/>
    <xf numFmtId="0" fontId="16" fillId="0" borderId="0" xfId="0" quotePrefix="1" applyFont="1"/>
    <xf numFmtId="168" fontId="16" fillId="3" borderId="0" xfId="0" applyNumberFormat="1" applyFont="1" applyFill="1"/>
    <xf numFmtId="168" fontId="16" fillId="3" borderId="0" xfId="1" applyNumberFormat="1" applyFont="1" applyFill="1" applyBorder="1"/>
    <xf numFmtId="168" fontId="16" fillId="3" borderId="24" xfId="1" applyNumberFormat="1" applyFont="1" applyFill="1" applyBorder="1"/>
    <xf numFmtId="168" fontId="13" fillId="0" borderId="0" xfId="1" applyNumberFormat="1" applyFont="1" applyBorder="1" applyAlignment="1">
      <alignment horizontal="center"/>
    </xf>
    <xf numFmtId="168" fontId="13" fillId="0" borderId="0" xfId="0" applyNumberFormat="1" applyFont="1"/>
    <xf numFmtId="168" fontId="13" fillId="0" borderId="24" xfId="0" applyNumberFormat="1" applyFont="1" applyBorder="1"/>
    <xf numFmtId="168" fontId="16" fillId="0" borderId="0" xfId="1" applyNumberFormat="1" applyFont="1" applyBorder="1" applyAlignment="1">
      <alignment horizontal="center"/>
    </xf>
    <xf numFmtId="168" fontId="16" fillId="0" borderId="0" xfId="0" applyNumberFormat="1" applyFont="1"/>
    <xf numFmtId="168" fontId="16" fillId="0" borderId="27" xfId="0" applyNumberFormat="1" applyFont="1" applyBorder="1"/>
    <xf numFmtId="9" fontId="13" fillId="0" borderId="0" xfId="2" applyFont="1" applyBorder="1"/>
    <xf numFmtId="9" fontId="13" fillId="0" borderId="24" xfId="2" applyFont="1" applyBorder="1"/>
    <xf numFmtId="168" fontId="16" fillId="0" borderId="28" xfId="0" applyNumberFormat="1" applyFont="1" applyBorder="1"/>
    <xf numFmtId="164" fontId="13" fillId="0" borderId="0" xfId="0" applyNumberFormat="1" applyFont="1"/>
    <xf numFmtId="43" fontId="13" fillId="0" borderId="24" xfId="0" applyNumberFormat="1" applyFont="1" applyBorder="1"/>
    <xf numFmtId="169" fontId="16" fillId="3" borderId="0" xfId="0" applyNumberFormat="1" applyFont="1" applyFill="1"/>
    <xf numFmtId="9" fontId="13" fillId="0" borderId="0" xfId="0" applyNumberFormat="1" applyFont="1"/>
    <xf numFmtId="0" fontId="13" fillId="0" borderId="22" xfId="0" applyFont="1" applyBorder="1"/>
    <xf numFmtId="0" fontId="13" fillId="0" borderId="24" xfId="0" applyFont="1" applyBorder="1"/>
    <xf numFmtId="0" fontId="13" fillId="0" borderId="23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" fontId="3" fillId="0" borderId="24" xfId="0" applyNumberFormat="1" applyFont="1" applyBorder="1" applyAlignment="1">
      <alignment horizontal="center"/>
    </xf>
    <xf numFmtId="164" fontId="13" fillId="0" borderId="21" xfId="1" applyFont="1" applyBorder="1"/>
    <xf numFmtId="0" fontId="6" fillId="0" borderId="23" xfId="0" applyFont="1" applyBorder="1"/>
    <xf numFmtId="0" fontId="6" fillId="0" borderId="24" xfId="0" applyFont="1" applyBorder="1"/>
    <xf numFmtId="0" fontId="17" fillId="0" borderId="20" xfId="0" applyFont="1" applyBorder="1"/>
    <xf numFmtId="0" fontId="13" fillId="4" borderId="0" xfId="0" applyFont="1" applyFill="1"/>
    <xf numFmtId="39" fontId="13" fillId="4" borderId="0" xfId="0" applyNumberFormat="1" applyFont="1" applyFill="1"/>
    <xf numFmtId="0" fontId="18" fillId="2" borderId="23" xfId="0" applyFont="1" applyFill="1" applyBorder="1" applyAlignment="1">
      <alignment horizontal="left"/>
    </xf>
    <xf numFmtId="0" fontId="18" fillId="2" borderId="0" xfId="0" applyFont="1" applyFill="1" applyAlignment="1">
      <alignment horizontal="center"/>
    </xf>
    <xf numFmtId="0" fontId="18" fillId="2" borderId="24" xfId="0" applyFont="1" applyFill="1" applyBorder="1" applyAlignment="1">
      <alignment horizontal="center"/>
    </xf>
    <xf numFmtId="37" fontId="3" fillId="0" borderId="24" xfId="1" applyNumberFormat="1" applyFont="1" applyFill="1" applyBorder="1"/>
    <xf numFmtId="0" fontId="4" fillId="0" borderId="23" xfId="0" applyFont="1" applyBorder="1"/>
    <xf numFmtId="0" fontId="4" fillId="0" borderId="0" xfId="0" applyFont="1"/>
    <xf numFmtId="37" fontId="4" fillId="0" borderId="24" xfId="0" applyNumberFormat="1" applyFont="1" applyBorder="1"/>
    <xf numFmtId="39" fontId="3" fillId="0" borderId="24" xfId="0" applyNumberFormat="1" applyFont="1" applyBorder="1"/>
    <xf numFmtId="0" fontId="3" fillId="0" borderId="21" xfId="0" applyFont="1" applyBorder="1"/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/>
    <xf numFmtId="0" fontId="8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vertical="center" wrapText="1"/>
    </xf>
    <xf numFmtId="0" fontId="10" fillId="0" borderId="0" xfId="0" applyFont="1"/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7" fillId="0" borderId="0" xfId="0" applyFont="1"/>
    <xf numFmtId="170" fontId="27" fillId="0" borderId="0" xfId="2" applyNumberFormat="1" applyFont="1"/>
    <xf numFmtId="0" fontId="28" fillId="0" borderId="0" xfId="0" applyFont="1"/>
    <xf numFmtId="164" fontId="28" fillId="0" borderId="0" xfId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164" fontId="28" fillId="0" borderId="0" xfId="1" applyFont="1"/>
    <xf numFmtId="170" fontId="28" fillId="0" borderId="0" xfId="2" applyNumberFormat="1" applyFont="1"/>
    <xf numFmtId="0" fontId="31" fillId="8" borderId="3" xfId="2" applyNumberFormat="1" applyFont="1" applyFill="1" applyBorder="1" applyAlignment="1">
      <alignment horizontal="center" vertical="center"/>
    </xf>
    <xf numFmtId="0" fontId="28" fillId="0" borderId="3" xfId="0" applyFont="1" applyBorder="1"/>
    <xf numFmtId="0" fontId="32" fillId="0" borderId="3" xfId="0" applyFont="1" applyBorder="1" applyAlignment="1">
      <alignment vertical="center"/>
    </xf>
    <xf numFmtId="0" fontId="28" fillId="0" borderId="4" xfId="0" applyFont="1" applyBorder="1"/>
    <xf numFmtId="0" fontId="27" fillId="0" borderId="1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8" fillId="0" borderId="19" xfId="0" applyFont="1" applyBorder="1"/>
    <xf numFmtId="0" fontId="33" fillId="0" borderId="0" xfId="0" applyFont="1" applyAlignment="1">
      <alignment vertical="center"/>
    </xf>
    <xf numFmtId="0" fontId="27" fillId="0" borderId="19" xfId="0" applyFont="1" applyBorder="1"/>
    <xf numFmtId="170" fontId="27" fillId="0" borderId="0" xfId="2" applyNumberFormat="1" applyFont="1" applyFill="1" applyBorder="1" applyAlignment="1">
      <alignment horizontal="right" vertical="center"/>
    </xf>
    <xf numFmtId="10" fontId="27" fillId="0" borderId="0" xfId="2" applyNumberFormat="1" applyFont="1" applyFill="1" applyBorder="1" applyAlignment="1">
      <alignment horizontal="right" vertical="center"/>
    </xf>
    <xf numFmtId="170" fontId="27" fillId="0" borderId="0" xfId="2" applyNumberFormat="1" applyFont="1" applyFill="1" applyBorder="1" applyAlignment="1">
      <alignment vertical="center"/>
    </xf>
    <xf numFmtId="10" fontId="34" fillId="0" borderId="0" xfId="2" applyNumberFormat="1" applyFont="1" applyFill="1" applyBorder="1" applyAlignment="1">
      <alignment horizontal="right" vertical="center"/>
    </xf>
    <xf numFmtId="170" fontId="28" fillId="0" borderId="0" xfId="2" applyNumberFormat="1" applyFont="1" applyBorder="1"/>
    <xf numFmtId="0" fontId="35" fillId="0" borderId="15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164" fontId="34" fillId="0" borderId="0" xfId="1" applyFont="1" applyBorder="1"/>
    <xf numFmtId="0" fontId="34" fillId="0" borderId="0" xfId="0" applyFont="1" applyAlignment="1">
      <alignment vertical="center"/>
    </xf>
    <xf numFmtId="168" fontId="27" fillId="0" borderId="0" xfId="1" applyNumberFormat="1" applyFont="1" applyFill="1" applyBorder="1" applyAlignment="1">
      <alignment horizontal="right" vertical="center"/>
    </xf>
    <xf numFmtId="10" fontId="34" fillId="0" borderId="0" xfId="2" applyNumberFormat="1" applyFont="1" applyBorder="1"/>
    <xf numFmtId="170" fontId="27" fillId="0" borderId="0" xfId="2" applyNumberFormat="1" applyFont="1" applyBorder="1" applyAlignment="1">
      <alignment vertical="center"/>
    </xf>
    <xf numFmtId="164" fontId="34" fillId="0" borderId="0" xfId="1" applyFont="1" applyFill="1" applyBorder="1" applyAlignment="1">
      <alignment horizontal="right" vertical="center"/>
    </xf>
    <xf numFmtId="0" fontId="37" fillId="0" borderId="15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28" fillId="0" borderId="6" xfId="0" applyFont="1" applyBorder="1"/>
    <xf numFmtId="170" fontId="28" fillId="0" borderId="6" xfId="2" applyNumberFormat="1" applyFont="1" applyBorder="1"/>
    <xf numFmtId="0" fontId="32" fillId="0" borderId="6" xfId="0" applyFont="1" applyBorder="1" applyAlignment="1">
      <alignment vertical="center"/>
    </xf>
    <xf numFmtId="0" fontId="27" fillId="0" borderId="6" xfId="0" applyFont="1" applyBorder="1"/>
    <xf numFmtId="0" fontId="27" fillId="0" borderId="7" xfId="0" applyFont="1" applyBorder="1"/>
    <xf numFmtId="0" fontId="32" fillId="0" borderId="2" xfId="0" applyFont="1" applyBorder="1" applyAlignment="1">
      <alignment vertical="center"/>
    </xf>
    <xf numFmtId="170" fontId="28" fillId="0" borderId="3" xfId="2" applyNumberFormat="1" applyFont="1" applyBorder="1"/>
    <xf numFmtId="0" fontId="27" fillId="0" borderId="3" xfId="0" applyFont="1" applyBorder="1"/>
    <xf numFmtId="0" fontId="27" fillId="0" borderId="4" xfId="0" applyFont="1" applyBorder="1"/>
    <xf numFmtId="0" fontId="29" fillId="0" borderId="15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7" fillId="8" borderId="1" xfId="0" applyFont="1" applyFill="1" applyBorder="1" applyAlignment="1">
      <alignment horizontal="center" vertical="center"/>
    </xf>
    <xf numFmtId="0" fontId="37" fillId="8" borderId="11" xfId="0" applyFont="1" applyFill="1" applyBorder="1" applyAlignment="1">
      <alignment horizontal="center" vertical="center"/>
    </xf>
    <xf numFmtId="170" fontId="37" fillId="8" borderId="11" xfId="2" applyNumberFormat="1" applyFont="1" applyFill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164" fontId="27" fillId="9" borderId="6" xfId="1" applyFont="1" applyFill="1" applyBorder="1" applyAlignment="1">
      <alignment horizontal="right" vertical="center"/>
    </xf>
    <xf numFmtId="10" fontId="32" fillId="0" borderId="0" xfId="2" applyNumberFormat="1" applyFont="1" applyBorder="1" applyAlignment="1">
      <alignment horizontal="center" vertical="center"/>
    </xf>
    <xf numFmtId="170" fontId="32" fillId="0" borderId="0" xfId="2" applyNumberFormat="1" applyFont="1" applyFill="1" applyBorder="1" applyAlignment="1">
      <alignment horizontal="center" vertical="center"/>
    </xf>
    <xf numFmtId="10" fontId="27" fillId="0" borderId="19" xfId="2" applyNumberFormat="1" applyFont="1" applyBorder="1" applyAlignment="1">
      <alignment horizontal="center"/>
    </xf>
    <xf numFmtId="10" fontId="32" fillId="0" borderId="6" xfId="2" applyNumberFormat="1" applyFont="1" applyBorder="1" applyAlignment="1">
      <alignment horizontal="center" vertical="center"/>
    </xf>
    <xf numFmtId="172" fontId="32" fillId="0" borderId="7" xfId="2" applyNumberFormat="1" applyFont="1" applyBorder="1" applyAlignment="1">
      <alignment horizontal="center" vertical="center"/>
    </xf>
    <xf numFmtId="0" fontId="38" fillId="0" borderId="15" xfId="0" applyFont="1" applyBorder="1" applyAlignment="1">
      <alignment vertical="center"/>
    </xf>
    <xf numFmtId="164" fontId="39" fillId="0" borderId="0" xfId="0" applyNumberFormat="1" applyFont="1" applyAlignment="1">
      <alignment vertical="center"/>
    </xf>
    <xf numFmtId="170" fontId="27" fillId="0" borderId="0" xfId="2" applyNumberFormat="1" applyFont="1" applyBorder="1"/>
    <xf numFmtId="10" fontId="40" fillId="0" borderId="32" xfId="2" applyNumberFormat="1" applyFont="1" applyBorder="1" applyAlignment="1">
      <alignment horizontal="right" vertical="center"/>
    </xf>
    <xf numFmtId="170" fontId="32" fillId="0" borderId="6" xfId="2" applyNumberFormat="1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27" fillId="0" borderId="15" xfId="0" applyFont="1" applyBorder="1"/>
    <xf numFmtId="10" fontId="27" fillId="9" borderId="8" xfId="2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right"/>
    </xf>
    <xf numFmtId="10" fontId="27" fillId="0" borderId="32" xfId="2" applyNumberFormat="1" applyFont="1" applyBorder="1"/>
    <xf numFmtId="170" fontId="31" fillId="0" borderId="0" xfId="2" applyNumberFormat="1" applyFont="1" applyBorder="1" applyAlignment="1">
      <alignment horizontal="right"/>
    </xf>
    <xf numFmtId="0" fontId="27" fillId="0" borderId="0" xfId="0" applyFont="1" applyAlignment="1">
      <alignment horizontal="right"/>
    </xf>
    <xf numFmtId="170" fontId="40" fillId="0" borderId="6" xfId="2" applyNumberFormat="1" applyFont="1" applyBorder="1" applyAlignment="1">
      <alignment horizontal="right" vertical="center"/>
    </xf>
    <xf numFmtId="10" fontId="40" fillId="0" borderId="34" xfId="2" applyNumberFormat="1" applyFont="1" applyBorder="1" applyAlignment="1">
      <alignment vertical="center"/>
    </xf>
    <xf numFmtId="0" fontId="27" fillId="0" borderId="5" xfId="0" applyFont="1" applyBorder="1"/>
    <xf numFmtId="170" fontId="27" fillId="0" borderId="6" xfId="2" applyNumberFormat="1" applyFont="1" applyBorder="1"/>
    <xf numFmtId="0" fontId="3" fillId="0" borderId="8" xfId="0" applyFont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right"/>
    </xf>
    <xf numFmtId="0" fontId="13" fillId="0" borderId="24" xfId="1" applyNumberFormat="1" applyFont="1" applyFill="1" applyBorder="1" applyAlignment="1">
      <alignment horizontal="right"/>
    </xf>
    <xf numFmtId="175" fontId="13" fillId="0" borderId="24" xfId="1" applyNumberFormat="1" applyFont="1" applyFill="1" applyBorder="1" applyAlignment="1">
      <alignment horizontal="right"/>
    </xf>
    <xf numFmtId="175" fontId="13" fillId="0" borderId="0" xfId="0" applyNumberFormat="1" applyFont="1" applyAlignment="1">
      <alignment horizontal="right"/>
    </xf>
    <xf numFmtId="175" fontId="13" fillId="0" borderId="24" xfId="1" applyNumberFormat="1" applyFont="1" applyBorder="1" applyAlignment="1">
      <alignment horizontal="right"/>
    </xf>
    <xf numFmtId="175" fontId="16" fillId="0" borderId="0" xfId="1" applyNumberFormat="1" applyFont="1" applyBorder="1" applyAlignment="1">
      <alignment horizontal="right"/>
    </xf>
    <xf numFmtId="175" fontId="16" fillId="0" borderId="24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4" xfId="0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44" fontId="16" fillId="3" borderId="0" xfId="1" applyNumberFormat="1" applyFont="1" applyFill="1" applyBorder="1" applyAlignment="1">
      <alignment horizontal="center"/>
    </xf>
    <xf numFmtId="168" fontId="13" fillId="0" borderId="0" xfId="1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37" fontId="13" fillId="0" borderId="24" xfId="0" applyNumberFormat="1" applyFont="1" applyBorder="1"/>
    <xf numFmtId="37" fontId="13" fillId="6" borderId="24" xfId="0" applyNumberFormat="1" applyFont="1" applyFill="1" applyBorder="1"/>
    <xf numFmtId="37" fontId="13" fillId="11" borderId="24" xfId="0" applyNumberFormat="1" applyFont="1" applyFill="1" applyBorder="1"/>
    <xf numFmtId="0" fontId="13" fillId="6" borderId="23" xfId="0" applyFont="1" applyFill="1" applyBorder="1"/>
    <xf numFmtId="0" fontId="13" fillId="6" borderId="0" xfId="0" applyFont="1" applyFill="1"/>
    <xf numFmtId="39" fontId="13" fillId="6" borderId="0" xfId="0" applyNumberFormat="1" applyFont="1" applyFill="1"/>
    <xf numFmtId="0" fontId="13" fillId="11" borderId="23" xfId="0" applyFont="1" applyFill="1" applyBorder="1"/>
    <xf numFmtId="0" fontId="13" fillId="11" borderId="0" xfId="0" applyFont="1" applyFill="1"/>
    <xf numFmtId="39" fontId="13" fillId="11" borderId="0" xfId="0" applyNumberFormat="1" applyFont="1" applyFill="1"/>
    <xf numFmtId="0" fontId="18" fillId="6" borderId="0" xfId="0" applyFont="1" applyFill="1" applyAlignment="1">
      <alignment horizontal="center"/>
    </xf>
    <xf numFmtId="39" fontId="13" fillId="0" borderId="0" xfId="0" applyNumberFormat="1" applyFont="1"/>
    <xf numFmtId="0" fontId="8" fillId="0" borderId="0" xfId="0" applyFont="1" applyAlignment="1">
      <alignment horizontal="center"/>
    </xf>
    <xf numFmtId="41" fontId="28" fillId="0" borderId="8" xfId="0" applyNumberFormat="1" applyFont="1" applyBorder="1" applyAlignment="1">
      <alignment horizontal="center"/>
    </xf>
    <xf numFmtId="170" fontId="40" fillId="0" borderId="21" xfId="2" applyNumberFormat="1" applyFont="1" applyBorder="1" applyAlignment="1">
      <alignment horizontal="right" vertical="center"/>
    </xf>
    <xf numFmtId="170" fontId="40" fillId="0" borderId="22" xfId="2" applyNumberFormat="1" applyFont="1" applyBorder="1" applyAlignment="1">
      <alignment horizontal="right" vertical="center"/>
    </xf>
    <xf numFmtId="0" fontId="31" fillId="0" borderId="3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9" xfId="0" applyFont="1" applyBorder="1" applyAlignment="1">
      <alignment horizontal="center"/>
    </xf>
    <xf numFmtId="0" fontId="27" fillId="0" borderId="1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15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0" fillId="10" borderId="2" xfId="0" applyFont="1" applyFill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4" xfId="0" applyFont="1" applyBorder="1" applyAlignment="1">
      <alignment horizontal="center"/>
    </xf>
    <xf numFmtId="0" fontId="6" fillId="5" borderId="3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10" fontId="13" fillId="5" borderId="14" xfId="2" applyNumberFormat="1" applyFont="1" applyFill="1" applyBorder="1" applyAlignment="1">
      <alignment horizontal="center"/>
    </xf>
    <xf numFmtId="10" fontId="13" fillId="5" borderId="29" xfId="2" applyNumberFormat="1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41" fillId="4" borderId="23" xfId="0" applyFont="1" applyFill="1" applyBorder="1" applyAlignment="1">
      <alignment horizontal="left"/>
    </xf>
    <xf numFmtId="0" fontId="41" fillId="4" borderId="0" xfId="0" applyFont="1" applyFill="1" applyAlignment="1">
      <alignment horizontal="left"/>
    </xf>
    <xf numFmtId="0" fontId="41" fillId="4" borderId="24" xfId="0" applyFont="1" applyFill="1" applyBorder="1" applyAlignment="1">
      <alignment horizontal="left"/>
    </xf>
    <xf numFmtId="10" fontId="16" fillId="4" borderId="24" xfId="2" applyNumberFormat="1" applyFont="1" applyFill="1" applyBorder="1" applyAlignment="1">
      <alignment horizontal="center" vertical="center"/>
    </xf>
    <xf numFmtId="10" fontId="16" fillId="4" borderId="26" xfId="2" applyNumberFormat="1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6" fillId="4" borderId="25" xfId="0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4" fontId="3" fillId="0" borderId="16" xfId="1" applyFont="1" applyBorder="1" applyAlignment="1">
      <alignment horizontal="center" vertical="center" wrapText="1"/>
    </xf>
    <xf numFmtId="166" fontId="9" fillId="2" borderId="15" xfId="1" applyNumberFormat="1" applyFont="1" applyFill="1" applyBorder="1" applyAlignment="1">
      <alignment horizontal="center" vertical="center"/>
    </xf>
    <xf numFmtId="166" fontId="9" fillId="2" borderId="0" xfId="1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wrapText="1" shrinkToFi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6" fillId="5" borderId="9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 wrapText="1"/>
    </xf>
    <xf numFmtId="10" fontId="27" fillId="0" borderId="0" xfId="2" applyNumberFormat="1" applyFont="1" applyFill="1" applyBorder="1" applyAlignment="1">
      <alignment horizontal="right" vertical="center"/>
    </xf>
    <xf numFmtId="9" fontId="27" fillId="0" borderId="0" xfId="2" applyFont="1" applyFill="1" applyBorder="1" applyAlignment="1">
      <alignment horizontal="right" vertical="center"/>
    </xf>
    <xf numFmtId="170" fontId="27" fillId="9" borderId="0" xfId="2" applyNumberFormat="1" applyFont="1" applyFill="1" applyBorder="1" applyAlignment="1">
      <alignment horizontal="right" vertical="center"/>
    </xf>
    <xf numFmtId="170" fontId="27" fillId="9" borderId="0" xfId="2" applyNumberFormat="1" applyFont="1" applyFill="1" applyBorder="1" applyAlignment="1">
      <alignment horizontal="right" vertical="center"/>
    </xf>
    <xf numFmtId="171" fontId="27" fillId="9" borderId="0" xfId="120" applyNumberFormat="1" applyFont="1" applyFill="1" applyBorder="1" applyAlignment="1">
      <alignment horizontal="right" vertical="center"/>
    </xf>
    <xf numFmtId="10" fontId="27" fillId="9" borderId="0" xfId="2" applyNumberFormat="1" applyFont="1" applyFill="1" applyBorder="1" applyAlignment="1">
      <alignment horizontal="right" vertical="center" wrapText="1"/>
    </xf>
  </cellXfs>
  <cellStyles count="121">
    <cellStyle name="Comma 2" xfId="68" xr:uid="{00000000-0005-0000-0000-000000000000}"/>
    <cellStyle name="Comma 2 2" xfId="115" xr:uid="{B994EAC7-17EC-4C5F-8944-9011F15AC13D}"/>
    <cellStyle name="Currency 2" xfId="69" xr:uid="{00000000-0005-0000-0000-000001000000}"/>
    <cellStyle name="Currency 2 2" xfId="116" xr:uid="{BF890906-2D44-4DEC-B387-50656672BF80}"/>
    <cellStyle name="Millares" xfId="1" builtinId="3"/>
    <cellStyle name="Millares [0] 2" xfId="18" xr:uid="{00000000-0005-0000-0000-000003000000}"/>
    <cellStyle name="Millares [0] 2 2" xfId="27" xr:uid="{00000000-0005-0000-0000-000004000000}"/>
    <cellStyle name="Millares [0] 2 2 2" xfId="48" xr:uid="{00000000-0005-0000-0000-000005000000}"/>
    <cellStyle name="Millares [0] 2 2 2 2" xfId="101" xr:uid="{90B0E4A8-743E-43F3-A2A8-A0F00878132E}"/>
    <cellStyle name="Millares [0] 2 2 3" xfId="87" xr:uid="{D802CE6A-D07E-42FC-AE3C-F7692506D3C9}"/>
    <cellStyle name="Millares [0] 2 3" xfId="39" xr:uid="{00000000-0005-0000-0000-000006000000}"/>
    <cellStyle name="Millares [0] 2 3 2" xfId="97" xr:uid="{AD3AB10F-3A71-4B8A-88B8-93F0AE928A3C}"/>
    <cellStyle name="Millares [0] 2 4" xfId="60" xr:uid="{00000000-0005-0000-0000-000007000000}"/>
    <cellStyle name="Millares [0] 2 4 2" xfId="108" xr:uid="{6EE046E9-E1BD-4B47-AAAF-ECB00EC239C7}"/>
    <cellStyle name="Millares [0] 2 5" xfId="82" xr:uid="{8F955744-4736-4D67-9306-ECD0EFDAF558}"/>
    <cellStyle name="Millares [0] 3" xfId="23" xr:uid="{00000000-0005-0000-0000-000008000000}"/>
    <cellStyle name="Millares [0] 3 2" xfId="44" xr:uid="{00000000-0005-0000-0000-000009000000}"/>
    <cellStyle name="Millares [0] 3 2 2" xfId="99" xr:uid="{83911AD6-4498-442E-8A83-46620D132DED}"/>
    <cellStyle name="Millares [0] 3 3" xfId="84" xr:uid="{8A7BF24E-6258-472C-BE81-F07D6E56BD70}"/>
    <cellStyle name="Millares 10" xfId="51" xr:uid="{00000000-0005-0000-0000-00000A000000}"/>
    <cellStyle name="Millares 10 2" xfId="104" xr:uid="{0335DDA6-8D23-4E5A-8537-FED5BDA8EF20}"/>
    <cellStyle name="Millares 11" xfId="50" xr:uid="{00000000-0005-0000-0000-00000B000000}"/>
    <cellStyle name="Millares 11 2" xfId="103" xr:uid="{94905B51-9DE0-4C4B-9C0D-755DB5058655}"/>
    <cellStyle name="Millares 12" xfId="70" xr:uid="{8CA68D6C-014A-4C06-86FE-66BB2808B053}"/>
    <cellStyle name="Millares 13" xfId="86" xr:uid="{93E6A3CA-0541-4954-99CD-BC52891A7C52}"/>
    <cellStyle name="Millares 14" xfId="117" xr:uid="{497605F2-FCCB-484A-B8D6-05E736933D99}"/>
    <cellStyle name="Millares 15" xfId="118" xr:uid="{FDD3D2BE-7602-4F43-B73B-BB1557E75BB8}"/>
    <cellStyle name="Millares 16" xfId="120" xr:uid="{14387D53-2A38-4C63-B5C0-680B2C27007C}"/>
    <cellStyle name="Millares 17" xfId="119" xr:uid="{4BE1BD9F-0B66-4C9E-9DFC-199AF6C4058B}"/>
    <cellStyle name="Millares 2" xfId="3" xr:uid="{00000000-0005-0000-0000-00000C000000}"/>
    <cellStyle name="Millares 2 2" xfId="30" xr:uid="{00000000-0005-0000-0000-00000D000000}"/>
    <cellStyle name="Millares 2 2 2" xfId="57" xr:uid="{00000000-0005-0000-0000-00000E000000}"/>
    <cellStyle name="Millares 2 2 2 2" xfId="106" xr:uid="{FC3C708E-5B48-4662-A47F-6A6EF32F0871}"/>
    <cellStyle name="Millares 2 2 3" xfId="90" xr:uid="{46382FB2-AD4A-4017-9F46-231EA4818B7C}"/>
    <cellStyle name="Millares 2 3" xfId="36" xr:uid="{00000000-0005-0000-0000-00000F000000}"/>
    <cellStyle name="Millares 2 3 2" xfId="62" xr:uid="{00000000-0005-0000-0000-000010000000}"/>
    <cellStyle name="Millares 2 3 2 2" xfId="110" xr:uid="{734FC103-042A-4DAA-9FFA-28191CBF34B4}"/>
    <cellStyle name="Millares 2 3 3" xfId="95" xr:uid="{09BA8133-5CA6-4F7D-94C1-2E49F55C47E0}"/>
    <cellStyle name="Millares 2 4" xfId="15" xr:uid="{00000000-0005-0000-0000-000011000000}"/>
    <cellStyle name="Millares 2 4 2" xfId="80" xr:uid="{57118151-77ED-453A-84D7-8847C9869A4F}"/>
    <cellStyle name="Millares 2 5" xfId="11" xr:uid="{00000000-0005-0000-0000-000012000000}"/>
    <cellStyle name="Millares 2 5 2" xfId="77" xr:uid="{0F0CA4B5-1438-4198-B292-CAAEACE08BB1}"/>
    <cellStyle name="Millares 2 6" xfId="56" xr:uid="{00000000-0005-0000-0000-000013000000}"/>
    <cellStyle name="Millares 2 6 2" xfId="105" xr:uid="{11EB4A3D-F482-49FE-B349-2DBB6F680E2A}"/>
    <cellStyle name="Millares 2 7" xfId="71" xr:uid="{5505698F-460D-4752-9DFC-15A4A8056853}"/>
    <cellStyle name="Millares 3" xfId="17" xr:uid="{00000000-0005-0000-0000-000014000000}"/>
    <cellStyle name="Millares 3 2" xfId="38" xr:uid="{00000000-0005-0000-0000-000015000000}"/>
    <cellStyle name="Millares 3 2 2" xfId="96" xr:uid="{E457B12D-A613-4DD9-97E3-B00ECB4EB1FD}"/>
    <cellStyle name="Millares 3 3" xfId="64" xr:uid="{00000000-0005-0000-0000-000016000000}"/>
    <cellStyle name="Millares 3 3 2" xfId="111" xr:uid="{9F4B1446-5A13-48D1-8934-6E5AD4D2CF91}"/>
    <cellStyle name="Millares 3 4" xfId="81" xr:uid="{6DD94D94-03A0-45EE-9C1F-D1D84E4DD030}"/>
    <cellStyle name="Millares 4" xfId="22" xr:uid="{00000000-0005-0000-0000-000017000000}"/>
    <cellStyle name="Millares 4 2" xfId="43" xr:uid="{00000000-0005-0000-0000-000018000000}"/>
    <cellStyle name="Millares 4 2 2" xfId="98" xr:uid="{305C9E6B-BE50-4516-97EE-896F634E5295}"/>
    <cellStyle name="Millares 4 3" xfId="58" xr:uid="{00000000-0005-0000-0000-000019000000}"/>
    <cellStyle name="Millares 4 3 2" xfId="107" xr:uid="{99B5C79A-720D-4A45-B9AA-9032F8BC22B7}"/>
    <cellStyle name="Millares 4 4" xfId="83" xr:uid="{3F51129E-525C-4969-8EA0-3F4465E96786}"/>
    <cellStyle name="Millares 5" xfId="31" xr:uid="{00000000-0005-0000-0000-00001A000000}"/>
    <cellStyle name="Millares 5 2" xfId="61" xr:uid="{00000000-0005-0000-0000-00001B000000}"/>
    <cellStyle name="Millares 5 2 2" xfId="109" xr:uid="{E559AC30-053A-4F35-ABD9-273871AFF167}"/>
    <cellStyle name="Millares 5 3" xfId="91" xr:uid="{C22432DD-B196-4169-AFAE-97EAFB8A426D}"/>
    <cellStyle name="Millares 6" xfId="25" xr:uid="{00000000-0005-0000-0000-00001C000000}"/>
    <cellStyle name="Millares 6 2" xfId="46" xr:uid="{00000000-0005-0000-0000-00001D000000}"/>
    <cellStyle name="Millares 6 2 2" xfId="100" xr:uid="{3D42D928-72C3-46E4-B720-CCD58BC131A1}"/>
    <cellStyle name="Millares 6 3" xfId="65" xr:uid="{00000000-0005-0000-0000-00001E000000}"/>
    <cellStyle name="Millares 6 3 2" xfId="112" xr:uid="{86B41BE6-E924-4B59-A000-24A684500689}"/>
    <cellStyle name="Millares 6 4" xfId="85" xr:uid="{B7015F8A-BB11-499F-B99D-38328BAAA531}"/>
    <cellStyle name="Millares 7" xfId="34" xr:uid="{00000000-0005-0000-0000-00001F000000}"/>
    <cellStyle name="Millares 7 2" xfId="66" xr:uid="{00000000-0005-0000-0000-000020000000}"/>
    <cellStyle name="Millares 7 2 2" xfId="113" xr:uid="{40B14077-7EE5-4BD0-9278-0DAD1E04386F}"/>
    <cellStyle name="Millares 7 3" xfId="94" xr:uid="{E9B7F1A5-F11B-4942-A25D-8BD72D74BAAE}"/>
    <cellStyle name="Millares 8" xfId="49" xr:uid="{00000000-0005-0000-0000-000021000000}"/>
    <cellStyle name="Millares 8 2" xfId="67" xr:uid="{00000000-0005-0000-0000-000022000000}"/>
    <cellStyle name="Millares 8 2 2" xfId="114" xr:uid="{D670B957-D7C9-4BE7-A429-80A6FE7871E4}"/>
    <cellStyle name="Millares 8 3" xfId="102" xr:uid="{EC76E56F-C002-4514-B0D2-F4FF67D99A92}"/>
    <cellStyle name="Millares 9" xfId="5" xr:uid="{00000000-0005-0000-0000-000023000000}"/>
    <cellStyle name="Millares 9 2" xfId="52" xr:uid="{00000000-0005-0000-0000-000024000000}"/>
    <cellStyle name="Millares 9 3" xfId="72" xr:uid="{7E1545F8-B9D2-4ED0-9F02-D23FC091547E}"/>
    <cellStyle name="Moneda 2" xfId="7" xr:uid="{00000000-0005-0000-0000-000025000000}"/>
    <cellStyle name="Moneda 2 2" xfId="28" xr:uid="{00000000-0005-0000-0000-000026000000}"/>
    <cellStyle name="Moneda 2 2 2" xfId="88" xr:uid="{C8179DAB-4932-4FD6-A7E7-57D70B3D159A}"/>
    <cellStyle name="Moneda 2 3" xfId="33" xr:uid="{00000000-0005-0000-0000-000027000000}"/>
    <cellStyle name="Moneda 2 3 2" xfId="93" xr:uid="{B42AE4F2-6DAE-4B48-97D8-ACE69B9A516A}"/>
    <cellStyle name="Moneda 2 4" xfId="12" xr:uid="{00000000-0005-0000-0000-000028000000}"/>
    <cellStyle name="Moneda 2 4 2" xfId="78" xr:uid="{7BAFD670-CCA8-435B-98D1-69CAF84658F3}"/>
    <cellStyle name="Moneda 2 5" xfId="59" xr:uid="{00000000-0005-0000-0000-000029000000}"/>
    <cellStyle name="Moneda 2 6" xfId="74" xr:uid="{99E81D73-7441-44A0-9047-EB6212FA0A22}"/>
    <cellStyle name="Moneda 3" xfId="32" xr:uid="{00000000-0005-0000-0000-00002A000000}"/>
    <cellStyle name="Moneda 3 2" xfId="53" xr:uid="{00000000-0005-0000-0000-00002B000000}"/>
    <cellStyle name="Moneda 3 3" xfId="92" xr:uid="{0356088B-6A9A-477F-83B6-781E1E9BE664}"/>
    <cellStyle name="Moneda 4" xfId="6" xr:uid="{00000000-0005-0000-0000-00002C000000}"/>
    <cellStyle name="Moneda 4 2" xfId="73" xr:uid="{F42CD058-9BE8-42DB-94C8-892F0F452351}"/>
    <cellStyle name="Normal" xfId="0" builtinId="0"/>
    <cellStyle name="Normal 2" xfId="10" xr:uid="{00000000-0005-0000-0000-00002E000000}"/>
    <cellStyle name="Normal 2 2" xfId="35" xr:uid="{00000000-0005-0000-0000-00002F000000}"/>
    <cellStyle name="Normal 2 3" xfId="14" xr:uid="{00000000-0005-0000-0000-000030000000}"/>
    <cellStyle name="Normal 3" xfId="16" xr:uid="{00000000-0005-0000-0000-000031000000}"/>
    <cellStyle name="Normal 3 2" xfId="37" xr:uid="{00000000-0005-0000-0000-000032000000}"/>
    <cellStyle name="Normal 3 2 2" xfId="63" xr:uid="{00000000-0005-0000-0000-000033000000}"/>
    <cellStyle name="Normal 3 3" xfId="55" xr:uid="{00000000-0005-0000-0000-000034000000}"/>
    <cellStyle name="Normal 4" xfId="20" xr:uid="{00000000-0005-0000-0000-000035000000}"/>
    <cellStyle name="Normal 4 2" xfId="41" xr:uid="{00000000-0005-0000-0000-000036000000}"/>
    <cellStyle name="Normal 5" xfId="4" xr:uid="{00000000-0005-0000-0000-000037000000}"/>
    <cellStyle name="Normal 6" xfId="24" xr:uid="{00000000-0005-0000-0000-000038000000}"/>
    <cellStyle name="Normal 6 2" xfId="45" xr:uid="{00000000-0005-0000-0000-000039000000}"/>
    <cellStyle name="Porcentaje" xfId="2" builtinId="5"/>
    <cellStyle name="Porcentaje 2" xfId="9" xr:uid="{00000000-0005-0000-0000-00003B000000}"/>
    <cellStyle name="Porcentaje 2 2" xfId="29" xr:uid="{00000000-0005-0000-0000-00003C000000}"/>
    <cellStyle name="Porcentaje 2 2 2" xfId="89" xr:uid="{B4551F08-DA44-4BDA-B179-5B3317BFE6E6}"/>
    <cellStyle name="Porcentaje 2 3" xfId="13" xr:uid="{00000000-0005-0000-0000-00003D000000}"/>
    <cellStyle name="Porcentaje 2 3 2" xfId="79" xr:uid="{16A1AA4D-D322-4597-B582-2CC190F7C94F}"/>
    <cellStyle name="Porcentaje 2 4" xfId="76" xr:uid="{B16FA7EF-4FAF-4D1F-8BF4-57F63CB0511B}"/>
    <cellStyle name="Porcentaje 3" xfId="19" xr:uid="{00000000-0005-0000-0000-00003E000000}"/>
    <cellStyle name="Porcentaje 3 2" xfId="40" xr:uid="{00000000-0005-0000-0000-00003F000000}"/>
    <cellStyle name="Porcentaje 3 3" xfId="54" xr:uid="{00000000-0005-0000-0000-000040000000}"/>
    <cellStyle name="Porcentaje 4" xfId="8" xr:uid="{00000000-0005-0000-0000-000041000000}"/>
    <cellStyle name="Porcentaje 4 2" xfId="75" xr:uid="{7819B8D8-6C74-459C-9624-8E27C5F8A13E}"/>
    <cellStyle name="Porcentaje 5" xfId="21" xr:uid="{00000000-0005-0000-0000-000042000000}"/>
    <cellStyle name="Porcentaje 5 2" xfId="42" xr:uid="{00000000-0005-0000-0000-000043000000}"/>
    <cellStyle name="Porcentaje 7" xfId="26" xr:uid="{00000000-0005-0000-0000-000044000000}"/>
    <cellStyle name="Porcentaje 7 2" xfId="47" xr:uid="{00000000-0005-0000-0000-00004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3</xdr:row>
      <xdr:rowOff>31750</xdr:rowOff>
    </xdr:from>
    <xdr:to>
      <xdr:col>12</xdr:col>
      <xdr:colOff>1</xdr:colOff>
      <xdr:row>23</xdr:row>
      <xdr:rowOff>29412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829A9C-0CC7-4BE9-A239-2449FC223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666750"/>
          <a:ext cx="8413751" cy="3744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213392</xdr:colOff>
      <xdr:row>40</xdr:row>
      <xdr:rowOff>168246</xdr:rowOff>
    </xdr:from>
    <xdr:to>
      <xdr:col>15</xdr:col>
      <xdr:colOff>717347</xdr:colOff>
      <xdr:row>52</xdr:row>
      <xdr:rowOff>264777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D6C933-BCB9-41F8-9D93-EE6B33A8C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6392" y="7464396"/>
          <a:ext cx="4313955" cy="2601606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212912</xdr:colOff>
      <xdr:row>13</xdr:row>
      <xdr:rowOff>11207</xdr:rowOff>
    </xdr:from>
    <xdr:to>
      <xdr:col>16</xdr:col>
      <xdr:colOff>437030</xdr:colOff>
      <xdr:row>24</xdr:row>
      <xdr:rowOff>98345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7F5956-3E4A-44D4-87CB-5B3EF5EDE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97118" y="2196354"/>
          <a:ext cx="4796118" cy="21041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15</xdr:row>
      <xdr:rowOff>19050</xdr:rowOff>
    </xdr:from>
    <xdr:to>
      <xdr:col>8</xdr:col>
      <xdr:colOff>141576</xdr:colOff>
      <xdr:row>17</xdr:row>
      <xdr:rowOff>205650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006"/>
        <a:stretch/>
      </xdr:blipFill>
      <xdr:spPr>
        <a:xfrm>
          <a:off x="3533775" y="2990850"/>
          <a:ext cx="3503901" cy="710475"/>
        </a:xfrm>
        <a:prstGeom prst="rect">
          <a:avLst/>
        </a:prstGeom>
      </xdr:spPr>
    </xdr:pic>
    <xdr:clientData/>
  </xdr:twoCellAnchor>
  <xdr:twoCellAnchor editAs="oneCell">
    <xdr:from>
      <xdr:col>4</xdr:col>
      <xdr:colOff>676274</xdr:colOff>
      <xdr:row>39</xdr:row>
      <xdr:rowOff>19050</xdr:rowOff>
    </xdr:from>
    <xdr:to>
      <xdr:col>8</xdr:col>
      <xdr:colOff>125123</xdr:colOff>
      <xdr:row>42</xdr:row>
      <xdr:rowOff>56475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539"/>
        <a:stretch/>
      </xdr:blipFill>
      <xdr:spPr>
        <a:xfrm>
          <a:off x="3648074" y="7991475"/>
          <a:ext cx="3373149" cy="847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hispano-my.sharepoint.com/personal/fernando_ramirez_uh_ac_cr/Documents/Documentos/UH/Precios/Solicitud%20tarifas%20para%202020%20CONES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upo de Carreras A"/>
      <sheetName val="Grupo de Carreras B"/>
      <sheetName val="Modelo Inversión"/>
      <sheetName val="Hoja1"/>
    </sheetNames>
    <sheetDataSet>
      <sheetData sheetId="0">
        <row r="33">
          <cell r="C33">
            <v>111230.84093399999</v>
          </cell>
        </row>
      </sheetData>
      <sheetData sheetId="1"/>
      <sheetData sheetId="2"/>
      <sheetData sheetId="3">
        <row r="10">
          <cell r="P10">
            <v>4.3917999999999999E-2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K9"/>
  <sheetViews>
    <sheetView showGridLines="0" tabSelected="1" zoomScale="120" zoomScaleNormal="120" workbookViewId="0">
      <selection activeCell="C3" sqref="C3"/>
    </sheetView>
  </sheetViews>
  <sheetFormatPr baseColWidth="10" defaultColWidth="11.42578125" defaultRowHeight="15" x14ac:dyDescent="0.25"/>
  <cols>
    <col min="1" max="1" width="2.85546875" customWidth="1"/>
  </cols>
  <sheetData>
    <row r="2" spans="2:11" s="12" customFormat="1" ht="22.5" x14ac:dyDescent="0.3">
      <c r="B2" s="288" t="s">
        <v>77</v>
      </c>
      <c r="C2" s="288"/>
      <c r="D2" s="288"/>
      <c r="E2" s="288"/>
      <c r="F2" s="288"/>
      <c r="G2" s="288"/>
      <c r="H2" s="288"/>
      <c r="I2" s="288"/>
      <c r="J2" s="288"/>
    </row>
    <row r="3" spans="2:11" s="12" customFormat="1" ht="12.75" x14ac:dyDescent="0.2">
      <c r="C3" s="11"/>
      <c r="G3" s="13"/>
    </row>
    <row r="4" spans="2:11" s="12" customFormat="1" ht="12.75" x14ac:dyDescent="0.2">
      <c r="C4" s="11"/>
      <c r="G4" s="13"/>
    </row>
    <row r="5" spans="2:11" s="12" customFormat="1" ht="12.75" x14ac:dyDescent="0.2">
      <c r="C5" s="11"/>
      <c r="G5" s="13"/>
    </row>
    <row r="6" spans="2:11" x14ac:dyDescent="0.25">
      <c r="K6" s="12"/>
    </row>
    <row r="7" spans="2:11" x14ac:dyDescent="0.25">
      <c r="K7" s="12"/>
    </row>
    <row r="8" spans="2:11" x14ac:dyDescent="0.25">
      <c r="K8" s="12"/>
    </row>
    <row r="9" spans="2:11" x14ac:dyDescent="0.25">
      <c r="K9" s="12"/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B2:F22"/>
  <sheetViews>
    <sheetView showGridLines="0" zoomScaleNormal="100" zoomScaleSheetLayoutView="100" workbookViewId="0">
      <selection activeCell="F8" sqref="F8"/>
    </sheetView>
  </sheetViews>
  <sheetFormatPr baseColWidth="10" defaultColWidth="11.5703125" defaultRowHeight="15" x14ac:dyDescent="0.25"/>
  <cols>
    <col min="1" max="1" width="2.85546875" style="1" customWidth="1"/>
    <col min="2" max="2" width="38.42578125" style="1" customWidth="1"/>
    <col min="3" max="3" width="17.42578125" style="1" bestFit="1" customWidth="1"/>
    <col min="4" max="5" width="11.5703125" style="1"/>
    <col min="6" max="6" width="19" style="1" bestFit="1" customWidth="1"/>
    <col min="7" max="16384" width="11.5703125" style="1"/>
  </cols>
  <sheetData>
    <row r="2" spans="2:6" ht="25.5" x14ac:dyDescent="0.35">
      <c r="B2" s="169" t="s">
        <v>161</v>
      </c>
      <c r="C2" s="166"/>
      <c r="D2" s="131"/>
      <c r="E2" s="180"/>
      <c r="F2" s="132"/>
    </row>
    <row r="3" spans="2:6" x14ac:dyDescent="0.25">
      <c r="B3" s="61" t="s">
        <v>153</v>
      </c>
      <c r="C3" s="67"/>
      <c r="D3" s="12"/>
      <c r="E3" s="67"/>
      <c r="F3" s="38"/>
    </row>
    <row r="4" spans="2:6" x14ac:dyDescent="0.25">
      <c r="B4" s="61" t="s">
        <v>216</v>
      </c>
      <c r="F4" s="38"/>
    </row>
    <row r="5" spans="2:6" x14ac:dyDescent="0.25">
      <c r="B5" s="133" t="s">
        <v>11</v>
      </c>
      <c r="F5" s="38"/>
    </row>
    <row r="6" spans="2:6" x14ac:dyDescent="0.25">
      <c r="B6" s="37"/>
      <c r="F6" s="38"/>
    </row>
    <row r="7" spans="2:6" x14ac:dyDescent="0.25">
      <c r="B7" s="92" t="s">
        <v>54</v>
      </c>
      <c r="C7" s="93" t="s">
        <v>63</v>
      </c>
      <c r="D7" s="93"/>
      <c r="E7" s="93"/>
      <c r="F7" s="94" t="s">
        <v>221</v>
      </c>
    </row>
    <row r="8" spans="2:6" x14ac:dyDescent="0.25">
      <c r="B8" s="95" t="s">
        <v>56</v>
      </c>
      <c r="C8" s="170"/>
      <c r="D8" s="170"/>
      <c r="E8" s="171"/>
      <c r="F8" s="117">
        <f>SUM(F9:F11)</f>
        <v>2361305611.3299999</v>
      </c>
    </row>
    <row r="9" spans="2:6" x14ac:dyDescent="0.25">
      <c r="B9" s="95" t="str">
        <f>+DF!B8</f>
        <v>Prestamo-A</v>
      </c>
      <c r="C9" s="170"/>
      <c r="D9" s="170"/>
      <c r="E9" s="171"/>
      <c r="F9" s="117">
        <f>+DF!G8</f>
        <v>187821713.44999999</v>
      </c>
    </row>
    <row r="10" spans="2:6" x14ac:dyDescent="0.25">
      <c r="B10" s="95" t="str">
        <f>+DF!B9</f>
        <v>Prestamo-B</v>
      </c>
      <c r="C10" s="170"/>
      <c r="D10" s="170"/>
      <c r="E10" s="171"/>
      <c r="F10" s="117">
        <f>+DF!G9</f>
        <v>239124599</v>
      </c>
    </row>
    <row r="11" spans="2:6" x14ac:dyDescent="0.25">
      <c r="B11" s="95" t="str">
        <f>+DF!B10</f>
        <v>Leasing a Largo Plazo-A</v>
      </c>
      <c r="C11" s="170"/>
      <c r="D11" s="170"/>
      <c r="E11" s="171"/>
      <c r="F11" s="117">
        <f>+DF!G10</f>
        <v>1934359298.8800001</v>
      </c>
    </row>
    <row r="12" spans="2:6" x14ac:dyDescent="0.25">
      <c r="B12" s="37"/>
      <c r="F12" s="118"/>
    </row>
    <row r="13" spans="2:6" x14ac:dyDescent="0.25">
      <c r="B13" s="95" t="s">
        <v>23</v>
      </c>
      <c r="C13" s="170"/>
      <c r="D13" s="170"/>
      <c r="E13" s="171"/>
      <c r="F13" s="117"/>
    </row>
    <row r="14" spans="2:6" x14ac:dyDescent="0.25">
      <c r="B14" s="95" t="s">
        <v>64</v>
      </c>
      <c r="C14" s="170"/>
      <c r="D14" s="170"/>
      <c r="E14" s="171"/>
      <c r="F14" s="126">
        <v>321694889.32999998</v>
      </c>
    </row>
    <row r="15" spans="2:6" x14ac:dyDescent="0.25">
      <c r="B15" s="37"/>
      <c r="F15" s="118"/>
    </row>
    <row r="16" spans="2:6" ht="13.9" customHeight="1" x14ac:dyDescent="0.25">
      <c r="B16" s="346" t="s">
        <v>65</v>
      </c>
      <c r="C16" s="347"/>
      <c r="D16" s="347"/>
      <c r="E16" s="347"/>
      <c r="F16" s="344">
        <f>+F14/F8</f>
        <v>0.13623602459014447</v>
      </c>
    </row>
    <row r="17" spans="2:6" x14ac:dyDescent="0.25">
      <c r="B17" s="348"/>
      <c r="C17" s="349"/>
      <c r="D17" s="349"/>
      <c r="E17" s="349"/>
      <c r="F17" s="345"/>
    </row>
    <row r="18" spans="2:6" x14ac:dyDescent="0.25">
      <c r="B18" s="37"/>
      <c r="F18" s="38"/>
    </row>
    <row r="19" spans="2:6" ht="15.75" thickBot="1" x14ac:dyDescent="0.3">
      <c r="B19" s="37"/>
      <c r="F19" s="38"/>
    </row>
    <row r="20" spans="2:6" x14ac:dyDescent="0.25">
      <c r="B20" s="307" t="s">
        <v>160</v>
      </c>
      <c r="C20" s="308"/>
      <c r="D20" s="308"/>
      <c r="E20" s="308"/>
      <c r="F20" s="309"/>
    </row>
    <row r="21" spans="2:6" ht="15.75" thickBot="1" x14ac:dyDescent="0.3">
      <c r="B21" s="310"/>
      <c r="C21" s="311"/>
      <c r="D21" s="311"/>
      <c r="E21" s="311"/>
      <c r="F21" s="312"/>
    </row>
    <row r="22" spans="2:6" x14ac:dyDescent="0.25">
      <c r="B22" s="45"/>
      <c r="C22" s="46"/>
      <c r="D22" s="46"/>
      <c r="E22" s="46"/>
      <c r="F22" s="47"/>
    </row>
  </sheetData>
  <mergeCells count="3">
    <mergeCell ref="F16:F17"/>
    <mergeCell ref="B20:F21"/>
    <mergeCell ref="B16:E17"/>
  </mergeCells>
  <pageMargins left="0.7" right="0.7" top="0.75" bottom="0.75" header="0.3" footer="0.3"/>
  <pageSetup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  <pageSetUpPr fitToPage="1"/>
  </sheetPr>
  <dimension ref="B2:H16"/>
  <sheetViews>
    <sheetView showGridLines="0" zoomScaleNormal="100" workbookViewId="0">
      <selection activeCell="H12" sqref="H12"/>
    </sheetView>
  </sheetViews>
  <sheetFormatPr baseColWidth="10" defaultColWidth="11.5703125" defaultRowHeight="15" x14ac:dyDescent="0.25"/>
  <cols>
    <col min="1" max="1" width="2.85546875" style="1" customWidth="1"/>
    <col min="2" max="2" width="28.42578125" style="1" customWidth="1"/>
    <col min="3" max="3" width="10.28515625" style="1" customWidth="1"/>
    <col min="4" max="4" width="11.5703125" style="1"/>
    <col min="5" max="5" width="11.42578125" style="1" customWidth="1"/>
    <col min="6" max="6" width="2.42578125" style="1" customWidth="1"/>
    <col min="7" max="7" width="3.140625" style="1" customWidth="1"/>
    <col min="8" max="16384" width="11.5703125" style="1"/>
  </cols>
  <sheetData>
    <row r="2" spans="2:8" ht="22.5" x14ac:dyDescent="0.3">
      <c r="B2" s="128" t="s">
        <v>162</v>
      </c>
      <c r="C2" s="166"/>
      <c r="D2" s="131"/>
      <c r="E2" s="131"/>
      <c r="F2" s="131"/>
      <c r="G2" s="131"/>
      <c r="H2" s="132"/>
    </row>
    <row r="3" spans="2:8" x14ac:dyDescent="0.25">
      <c r="B3" s="61" t="str">
        <f>Adjuntos!B2</f>
        <v>UNIVERSIDAD XXX</v>
      </c>
      <c r="C3" s="67"/>
      <c r="D3" s="12"/>
      <c r="E3" s="12"/>
      <c r="F3" s="12"/>
      <c r="G3" s="12"/>
      <c r="H3" s="63"/>
    </row>
    <row r="4" spans="2:8" x14ac:dyDescent="0.25">
      <c r="B4" s="326" t="str">
        <f>+Adjuntos!B4</f>
        <v>Nueva Carrera - Bachillerato en XXX</v>
      </c>
      <c r="C4" s="327"/>
      <c r="D4" s="327"/>
      <c r="E4" s="327"/>
      <c r="F4" s="327"/>
      <c r="G4" s="327"/>
      <c r="H4" s="328"/>
    </row>
    <row r="5" spans="2:8" ht="4.9000000000000004" customHeight="1" x14ac:dyDescent="0.25">
      <c r="B5" s="158"/>
      <c r="C5" s="159"/>
      <c r="D5" s="159"/>
      <c r="E5" s="159"/>
      <c r="F5" s="159"/>
      <c r="G5" s="159"/>
      <c r="H5" s="160"/>
    </row>
    <row r="6" spans="2:8" x14ac:dyDescent="0.25">
      <c r="B6" s="61" t="str">
        <f>+Qn!B6</f>
        <v>Documentos Probatorios 2024</v>
      </c>
      <c r="C6" s="67"/>
      <c r="E6" s="12"/>
      <c r="F6" s="12"/>
      <c r="G6" s="12"/>
      <c r="H6" s="63"/>
    </row>
    <row r="7" spans="2:8" x14ac:dyDescent="0.25">
      <c r="B7" s="37"/>
      <c r="H7" s="38"/>
    </row>
    <row r="8" spans="2:8" x14ac:dyDescent="0.25">
      <c r="B8" s="329" t="s">
        <v>163</v>
      </c>
      <c r="C8" s="330"/>
      <c r="D8" s="330"/>
      <c r="E8" s="330"/>
      <c r="F8" s="330"/>
      <c r="G8" s="330"/>
      <c r="H8" s="331"/>
    </row>
    <row r="9" spans="2:8" x14ac:dyDescent="0.25">
      <c r="B9" s="332"/>
      <c r="C9" s="333"/>
      <c r="D9" s="333"/>
      <c r="E9" s="333"/>
      <c r="F9" s="333"/>
      <c r="G9" s="333"/>
      <c r="H9" s="334"/>
    </row>
    <row r="10" spans="2:8" x14ac:dyDescent="0.25">
      <c r="B10" s="37"/>
      <c r="H10" s="38"/>
    </row>
    <row r="11" spans="2:8" s="2" customFormat="1" ht="15.75" x14ac:dyDescent="0.25">
      <c r="B11" s="79" t="s">
        <v>144</v>
      </c>
      <c r="C11" s="86"/>
      <c r="D11" s="86"/>
      <c r="E11" s="86"/>
      <c r="F11" s="86"/>
      <c r="G11" s="86"/>
      <c r="H11" s="87" t="s">
        <v>222</v>
      </c>
    </row>
    <row r="12" spans="2:8" s="2" customFormat="1" ht="15.75" x14ac:dyDescent="0.25">
      <c r="B12" s="45" t="s">
        <v>148</v>
      </c>
      <c r="C12" s="88"/>
      <c r="D12" s="89"/>
      <c r="E12" s="90"/>
      <c r="F12" s="90"/>
      <c r="G12" s="90"/>
      <c r="H12" s="91">
        <v>3</v>
      </c>
    </row>
    <row r="13" spans="2:8" s="2" customFormat="1" ht="16.5" thickBot="1" x14ac:dyDescent="0.3">
      <c r="B13" s="167"/>
      <c r="H13" s="168"/>
    </row>
    <row r="14" spans="2:8" x14ac:dyDescent="0.25">
      <c r="B14" s="307" t="s">
        <v>159</v>
      </c>
      <c r="C14" s="308"/>
      <c r="D14" s="308"/>
      <c r="E14" s="308"/>
      <c r="F14" s="308"/>
      <c r="G14" s="308"/>
      <c r="H14" s="309"/>
    </row>
    <row r="15" spans="2:8" ht="15.75" thickBot="1" x14ac:dyDescent="0.3">
      <c r="B15" s="310"/>
      <c r="C15" s="311"/>
      <c r="D15" s="311"/>
      <c r="E15" s="311"/>
      <c r="F15" s="311"/>
      <c r="G15" s="311"/>
      <c r="H15" s="312"/>
    </row>
    <row r="16" spans="2:8" x14ac:dyDescent="0.25">
      <c r="B16" s="45"/>
      <c r="C16" s="46"/>
      <c r="D16" s="46"/>
      <c r="E16" s="46"/>
      <c r="F16" s="46"/>
      <c r="G16" s="46"/>
      <c r="H16" s="47"/>
    </row>
  </sheetData>
  <mergeCells count="3">
    <mergeCell ref="B4:H4"/>
    <mergeCell ref="B8:H9"/>
    <mergeCell ref="B14:H15"/>
  </mergeCells>
  <printOptions horizontalCentered="1"/>
  <pageMargins left="0.7" right="0.7" top="0.75" bottom="0.75" header="0.3" footer="0.3"/>
  <pageSetup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  <pageSetUpPr fitToPage="1"/>
  </sheetPr>
  <dimension ref="B2:H16"/>
  <sheetViews>
    <sheetView showGridLines="0" zoomScaleNormal="100" workbookViewId="0">
      <selection activeCell="H12" sqref="H12"/>
    </sheetView>
  </sheetViews>
  <sheetFormatPr baseColWidth="10" defaultColWidth="11.5703125" defaultRowHeight="15" x14ac:dyDescent="0.25"/>
  <cols>
    <col min="1" max="1" width="2.85546875" style="1" customWidth="1"/>
    <col min="2" max="2" width="28.42578125" style="1" customWidth="1"/>
    <col min="3" max="3" width="10.28515625" style="1" customWidth="1"/>
    <col min="4" max="4" width="11.5703125" style="1"/>
    <col min="5" max="5" width="11.42578125" style="1" customWidth="1"/>
    <col min="6" max="6" width="2.42578125" style="1" customWidth="1"/>
    <col min="7" max="7" width="3.140625" style="1" customWidth="1"/>
    <col min="8" max="16384" width="11.5703125" style="1"/>
  </cols>
  <sheetData>
    <row r="2" spans="2:8" ht="22.5" x14ac:dyDescent="0.3">
      <c r="B2" s="128" t="s">
        <v>165</v>
      </c>
      <c r="C2" s="166"/>
      <c r="D2" s="131"/>
      <c r="E2" s="131"/>
      <c r="F2" s="131"/>
      <c r="G2" s="131"/>
      <c r="H2" s="132"/>
    </row>
    <row r="3" spans="2:8" x14ac:dyDescent="0.25">
      <c r="B3" s="61" t="str">
        <f>+Adjuntos!B2</f>
        <v>UNIVERSIDAD XXX</v>
      </c>
      <c r="C3" s="67"/>
      <c r="D3" s="12"/>
      <c r="E3" s="12"/>
      <c r="F3" s="12"/>
      <c r="G3" s="12"/>
      <c r="H3" s="63"/>
    </row>
    <row r="4" spans="2:8" x14ac:dyDescent="0.25">
      <c r="B4" s="326" t="str">
        <f>+Adjuntos!B4</f>
        <v>Nueva Carrera - Bachillerato en XXX</v>
      </c>
      <c r="C4" s="327"/>
      <c r="D4" s="327"/>
      <c r="E4" s="327"/>
      <c r="F4" s="327"/>
      <c r="G4" s="327"/>
      <c r="H4" s="328"/>
    </row>
    <row r="5" spans="2:8" ht="4.9000000000000004" customHeight="1" x14ac:dyDescent="0.25">
      <c r="B5" s="158"/>
      <c r="C5" s="159"/>
      <c r="D5" s="159"/>
      <c r="E5" s="159"/>
      <c r="F5" s="159"/>
      <c r="G5" s="159"/>
      <c r="H5" s="160"/>
    </row>
    <row r="6" spans="2:8" x14ac:dyDescent="0.25">
      <c r="B6" s="61" t="str">
        <f>+Qn!B6</f>
        <v>Documentos Probatorios 2024</v>
      </c>
      <c r="C6" s="67"/>
      <c r="E6" s="12"/>
      <c r="F6" s="12"/>
      <c r="G6" s="12"/>
      <c r="H6" s="63"/>
    </row>
    <row r="7" spans="2:8" x14ac:dyDescent="0.25">
      <c r="B7" s="37"/>
      <c r="H7" s="38"/>
    </row>
    <row r="8" spans="2:8" x14ac:dyDescent="0.25">
      <c r="B8" s="329" t="s">
        <v>166</v>
      </c>
      <c r="C8" s="330"/>
      <c r="D8" s="330"/>
      <c r="E8" s="330"/>
      <c r="F8" s="330"/>
      <c r="G8" s="330"/>
      <c r="H8" s="331"/>
    </row>
    <row r="9" spans="2:8" x14ac:dyDescent="0.25">
      <c r="B9" s="332"/>
      <c r="C9" s="333"/>
      <c r="D9" s="333"/>
      <c r="E9" s="333"/>
      <c r="F9" s="333"/>
      <c r="G9" s="333"/>
      <c r="H9" s="334"/>
    </row>
    <row r="10" spans="2:8" x14ac:dyDescent="0.25">
      <c r="B10" s="37"/>
      <c r="H10" s="38"/>
    </row>
    <row r="11" spans="2:8" s="2" customFormat="1" ht="15.75" x14ac:dyDescent="0.25">
      <c r="B11" s="79" t="s">
        <v>144</v>
      </c>
      <c r="C11" s="86"/>
      <c r="D11" s="86"/>
      <c r="E11" s="86"/>
      <c r="F11" s="86"/>
      <c r="G11" s="86"/>
      <c r="H11" s="87" t="s">
        <v>222</v>
      </c>
    </row>
    <row r="12" spans="2:8" s="2" customFormat="1" ht="15.75" x14ac:dyDescent="0.25">
      <c r="B12" s="45" t="s">
        <v>148</v>
      </c>
      <c r="C12" s="88"/>
      <c r="D12" s="89"/>
      <c r="E12" s="90"/>
      <c r="F12" s="90"/>
      <c r="G12" s="90"/>
      <c r="H12" s="91">
        <v>3</v>
      </c>
    </row>
    <row r="13" spans="2:8" s="2" customFormat="1" ht="16.5" thickBot="1" x14ac:dyDescent="0.3">
      <c r="B13" s="167"/>
      <c r="H13" s="168"/>
    </row>
    <row r="14" spans="2:8" x14ac:dyDescent="0.25">
      <c r="B14" s="307" t="s">
        <v>159</v>
      </c>
      <c r="C14" s="308"/>
      <c r="D14" s="308"/>
      <c r="E14" s="308"/>
      <c r="F14" s="308"/>
      <c r="G14" s="308"/>
      <c r="H14" s="309"/>
    </row>
    <row r="15" spans="2:8" ht="15.75" thickBot="1" x14ac:dyDescent="0.3">
      <c r="B15" s="310"/>
      <c r="C15" s="311"/>
      <c r="D15" s="311"/>
      <c r="E15" s="311"/>
      <c r="F15" s="311"/>
      <c r="G15" s="311"/>
      <c r="H15" s="312"/>
    </row>
    <row r="16" spans="2:8" x14ac:dyDescent="0.25">
      <c r="B16" s="45"/>
      <c r="C16" s="46"/>
      <c r="D16" s="46"/>
      <c r="E16" s="46"/>
      <c r="F16" s="46"/>
      <c r="G16" s="46"/>
      <c r="H16" s="47"/>
    </row>
  </sheetData>
  <mergeCells count="3">
    <mergeCell ref="B4:H4"/>
    <mergeCell ref="B8:H9"/>
    <mergeCell ref="B14:H15"/>
  </mergeCells>
  <printOptions horizontalCentered="1"/>
  <pageMargins left="0.7" right="0.7" top="0.75" bottom="0.75" header="0.3" footer="0.3"/>
  <pageSetup scale="9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  <pageSetUpPr fitToPage="1"/>
  </sheetPr>
  <dimension ref="B1:L54"/>
  <sheetViews>
    <sheetView showGridLines="0" zoomScaleNormal="100" zoomScaleSheetLayoutView="100" workbookViewId="0">
      <selection activeCell="B4" sqref="B4:K4"/>
    </sheetView>
  </sheetViews>
  <sheetFormatPr baseColWidth="10" defaultColWidth="11.5703125" defaultRowHeight="15" x14ac:dyDescent="0.25"/>
  <cols>
    <col min="1" max="1" width="2.85546875" style="1" customWidth="1"/>
    <col min="2" max="2" width="14.42578125" style="1" customWidth="1"/>
    <col min="3" max="3" width="14.85546875" style="1" customWidth="1"/>
    <col min="4" max="4" width="12.42578125" style="1" bestFit="1" customWidth="1"/>
    <col min="5" max="5" width="15.5703125" style="1" bestFit="1" customWidth="1"/>
    <col min="6" max="6" width="17.42578125" style="1" bestFit="1" customWidth="1"/>
    <col min="7" max="7" width="11.5703125" style="1"/>
    <col min="8" max="8" width="14.28515625" style="1" bestFit="1" customWidth="1"/>
    <col min="9" max="9" width="13.7109375" style="1" bestFit="1" customWidth="1"/>
    <col min="10" max="10" width="14.140625" style="1" bestFit="1" customWidth="1"/>
    <col min="11" max="16384" width="11.5703125" style="1"/>
  </cols>
  <sheetData>
    <row r="1" spans="2:11" ht="15.75" thickBot="1" x14ac:dyDescent="0.3"/>
    <row r="2" spans="2:11" ht="18.75" customHeight="1" x14ac:dyDescent="0.3">
      <c r="B2" s="360"/>
      <c r="C2" s="361"/>
      <c r="D2" s="361"/>
      <c r="E2" s="361"/>
      <c r="F2" s="361"/>
      <c r="G2" s="361"/>
      <c r="H2" s="361"/>
      <c r="I2" s="361"/>
      <c r="J2" s="361"/>
      <c r="K2" s="362"/>
    </row>
    <row r="3" spans="2:11" ht="18.75" x14ac:dyDescent="0.3">
      <c r="B3" s="363" t="s">
        <v>223</v>
      </c>
      <c r="C3" s="364"/>
      <c r="D3" s="364"/>
      <c r="E3" s="364"/>
      <c r="F3" s="364"/>
      <c r="G3" s="364"/>
      <c r="H3" s="364"/>
      <c r="I3" s="364"/>
      <c r="J3" s="364"/>
      <c r="K3" s="365"/>
    </row>
    <row r="4" spans="2:11" ht="16.5" thickBot="1" x14ac:dyDescent="0.3">
      <c r="B4" s="366" t="str">
        <f>+Qn!B4</f>
        <v>Nueva Carrera - Bachillerato en XXX</v>
      </c>
      <c r="C4" s="367"/>
      <c r="D4" s="367"/>
      <c r="E4" s="367"/>
      <c r="F4" s="367"/>
      <c r="G4" s="367"/>
      <c r="H4" s="367"/>
      <c r="I4" s="367"/>
      <c r="J4" s="367"/>
      <c r="K4" s="368"/>
    </row>
    <row r="6" spans="2:11" ht="15.75" x14ac:dyDescent="0.25">
      <c r="B6" s="375" t="s">
        <v>30</v>
      </c>
      <c r="C6" s="376"/>
      <c r="D6" s="376"/>
      <c r="E6" s="376"/>
      <c r="F6" s="376"/>
      <c r="G6" s="376"/>
      <c r="H6" s="376"/>
      <c r="I6" s="376"/>
      <c r="J6" s="376"/>
      <c r="K6" s="377"/>
    </row>
    <row r="7" spans="2:11" x14ac:dyDescent="0.25">
      <c r="B7" s="37"/>
      <c r="K7" s="38"/>
    </row>
    <row r="8" spans="2:11" ht="14.45" customHeight="1" x14ac:dyDescent="0.25">
      <c r="B8" s="369" t="s">
        <v>34</v>
      </c>
      <c r="C8" s="370"/>
      <c r="D8" s="350" t="s">
        <v>32</v>
      </c>
      <c r="E8" s="350"/>
      <c r="F8" s="350"/>
      <c r="G8" s="350"/>
      <c r="H8" s="350"/>
      <c r="I8" s="350"/>
      <c r="J8" s="350"/>
      <c r="K8" s="351"/>
    </row>
    <row r="9" spans="2:11" ht="13.9" customHeight="1" x14ac:dyDescent="0.25">
      <c r="B9" s="369"/>
      <c r="C9" s="370"/>
      <c r="D9" s="350"/>
      <c r="E9" s="350"/>
      <c r="F9" s="350"/>
      <c r="G9" s="350"/>
      <c r="H9" s="350"/>
      <c r="I9" s="350"/>
      <c r="J9" s="350"/>
      <c r="K9" s="351"/>
    </row>
    <row r="10" spans="2:11" ht="14.45" customHeight="1" thickBot="1" x14ac:dyDescent="0.3">
      <c r="B10" s="369"/>
      <c r="C10" s="370"/>
      <c r="D10" s="350"/>
      <c r="E10" s="350"/>
      <c r="F10" s="350"/>
      <c r="G10" s="350"/>
      <c r="H10" s="350"/>
      <c r="I10" s="350"/>
      <c r="J10" s="350"/>
      <c r="K10" s="351"/>
    </row>
    <row r="11" spans="2:11" ht="13.9" customHeight="1" x14ac:dyDescent="0.25">
      <c r="B11" s="369"/>
      <c r="C11" s="370"/>
      <c r="D11" s="371" t="s">
        <v>33</v>
      </c>
      <c r="E11" s="371"/>
      <c r="F11" s="371"/>
      <c r="G11" s="371"/>
      <c r="H11" s="371"/>
      <c r="I11" s="371"/>
      <c r="J11" s="371"/>
      <c r="K11" s="372"/>
    </row>
    <row r="12" spans="2:11" ht="13.9" customHeight="1" x14ac:dyDescent="0.25">
      <c r="B12" s="369"/>
      <c r="C12" s="370"/>
      <c r="D12" s="373"/>
      <c r="E12" s="373"/>
      <c r="F12" s="373"/>
      <c r="G12" s="373"/>
      <c r="H12" s="373"/>
      <c r="I12" s="373"/>
      <c r="J12" s="373"/>
      <c r="K12" s="374"/>
    </row>
    <row r="13" spans="2:11" ht="22.5" customHeight="1" x14ac:dyDescent="0.25">
      <c r="B13" s="369"/>
      <c r="C13" s="370"/>
      <c r="D13" s="373"/>
      <c r="E13" s="373"/>
      <c r="F13" s="373"/>
      <c r="G13" s="373"/>
      <c r="H13" s="373"/>
      <c r="I13" s="373"/>
      <c r="J13" s="373"/>
      <c r="K13" s="374"/>
    </row>
    <row r="14" spans="2:11" ht="13.9" customHeight="1" x14ac:dyDescent="0.25">
      <c r="B14" s="39"/>
      <c r="C14" s="40"/>
      <c r="D14" s="6"/>
      <c r="E14" s="6"/>
      <c r="F14" s="6"/>
      <c r="G14" s="6"/>
      <c r="H14" s="6"/>
      <c r="I14" s="6"/>
      <c r="J14" s="6"/>
      <c r="K14" s="38"/>
    </row>
    <row r="15" spans="2:11" ht="13.9" customHeight="1" x14ac:dyDescent="0.25">
      <c r="B15" s="181"/>
      <c r="C15" s="182"/>
      <c r="D15" s="183"/>
      <c r="E15" s="183"/>
      <c r="F15" s="183"/>
      <c r="G15" s="183"/>
      <c r="H15" s="183"/>
      <c r="I15" s="183"/>
      <c r="J15" s="183"/>
      <c r="K15" s="184"/>
    </row>
    <row r="16" spans="2:11" ht="13.9" customHeight="1" x14ac:dyDescent="0.25">
      <c r="B16" s="39"/>
      <c r="C16" s="40"/>
      <c r="D16" s="6"/>
      <c r="E16" s="6"/>
      <c r="F16" s="6"/>
      <c r="G16" s="6"/>
      <c r="H16" s="6"/>
      <c r="I16" s="6"/>
      <c r="J16" s="6"/>
      <c r="K16" s="38"/>
    </row>
    <row r="17" spans="2:11" s="3" customFormat="1" ht="28.15" customHeight="1" x14ac:dyDescent="0.25">
      <c r="B17" s="369" t="s">
        <v>145</v>
      </c>
      <c r="C17" s="370"/>
      <c r="D17" s="4"/>
      <c r="E17" s="5"/>
      <c r="F17" s="6"/>
      <c r="G17" s="5"/>
      <c r="H17" s="6"/>
      <c r="I17" s="6"/>
      <c r="J17" s="6"/>
      <c r="K17" s="41"/>
    </row>
    <row r="18" spans="2:11" s="3" customFormat="1" ht="17.45" customHeight="1" x14ac:dyDescent="0.25">
      <c r="B18" s="39"/>
      <c r="C18" s="40"/>
      <c r="D18" s="4"/>
      <c r="E18" s="5"/>
      <c r="F18" s="6"/>
      <c r="G18" s="5"/>
      <c r="H18" s="6"/>
      <c r="I18" s="6"/>
      <c r="J18" s="6"/>
      <c r="K18" s="41"/>
    </row>
    <row r="19" spans="2:11" s="3" customFormat="1" ht="17.45" customHeight="1" x14ac:dyDescent="0.25">
      <c r="B19" s="39"/>
      <c r="C19" s="40"/>
      <c r="D19" s="4"/>
      <c r="E19" s="5"/>
      <c r="F19" s="6"/>
      <c r="G19" s="5"/>
      <c r="H19" s="6"/>
      <c r="I19" s="6"/>
      <c r="J19" s="6"/>
      <c r="K19" s="41"/>
    </row>
    <row r="20" spans="2:11" s="3" customFormat="1" ht="17.45" customHeight="1" thickBot="1" x14ac:dyDescent="0.3">
      <c r="B20" s="39"/>
      <c r="C20" s="40"/>
      <c r="D20" s="4"/>
      <c r="E20" s="5"/>
      <c r="F20" s="6"/>
      <c r="G20" s="5"/>
      <c r="H20" s="6"/>
      <c r="I20" s="6"/>
      <c r="J20" s="6"/>
      <c r="K20" s="41"/>
    </row>
    <row r="21" spans="2:11" s="3" customFormat="1" ht="25.15" customHeight="1" thickBot="1" x14ac:dyDescent="0.3">
      <c r="B21" s="39"/>
      <c r="C21" s="40"/>
      <c r="D21" s="4"/>
      <c r="E21" s="5"/>
      <c r="F21" s="7">
        <f>(GOA!E23+GOA!E26)*(1-'CAPM-WACC'!C24)</f>
        <v>7394764.7012265595</v>
      </c>
      <c r="G21" s="185" t="s">
        <v>3</v>
      </c>
      <c r="H21" s="20">
        <f>+(1+'CAPM-WACC'!J46)</f>
        <v>1.1392967120809028</v>
      </c>
      <c r="I21" s="23"/>
      <c r="J21" s="6"/>
      <c r="K21" s="41"/>
    </row>
    <row r="22" spans="2:11" s="3" customFormat="1" ht="10.15" customHeight="1" x14ac:dyDescent="0.25">
      <c r="B22" s="39"/>
      <c r="C22" s="40"/>
      <c r="D22" s="18"/>
      <c r="E22" s="185"/>
      <c r="F22" s="354"/>
      <c r="G22" s="354"/>
      <c r="H22" s="354"/>
      <c r="I22" s="6"/>
      <c r="J22" s="6"/>
      <c r="K22" s="41"/>
    </row>
    <row r="23" spans="2:11" s="3" customFormat="1" ht="10.15" customHeight="1" thickBot="1" x14ac:dyDescent="0.3">
      <c r="B23" s="39"/>
      <c r="C23" s="40"/>
      <c r="D23" s="18"/>
      <c r="E23" s="185"/>
      <c r="F23" s="19"/>
      <c r="G23" s="19"/>
      <c r="H23" s="19"/>
      <c r="I23" s="6"/>
      <c r="J23" s="6"/>
      <c r="K23" s="41"/>
    </row>
    <row r="24" spans="2:11" s="3" customFormat="1" ht="25.15" customHeight="1" thickBot="1" x14ac:dyDescent="0.3">
      <c r="B24" s="39"/>
      <c r="C24" s="40"/>
      <c r="D24" s="18"/>
      <c r="E24" s="185"/>
      <c r="F24" s="21">
        <f>(Qn!F12*t!H12)</f>
        <v>90</v>
      </c>
      <c r="G24" s="185" t="s">
        <v>3</v>
      </c>
      <c r="H24" s="20">
        <f>+(1-'CAPM-WACC'!C24)-('CAPM-WACC'!J46*'CAPM-WACC'!C24)</f>
        <v>0.65821098637572917</v>
      </c>
      <c r="I24" s="6"/>
      <c r="J24" s="6"/>
      <c r="K24" s="41"/>
    </row>
    <row r="25" spans="2:11" s="3" customFormat="1" ht="10.15" customHeight="1" x14ac:dyDescent="0.25">
      <c r="B25" s="39"/>
      <c r="C25" s="40"/>
      <c r="D25" s="18"/>
      <c r="E25" s="185"/>
      <c r="F25" s="19"/>
      <c r="G25" s="185"/>
      <c r="H25" s="186"/>
      <c r="I25" s="6"/>
      <c r="J25" s="6"/>
      <c r="K25" s="41"/>
    </row>
    <row r="26" spans="2:11" s="3" customFormat="1" ht="17.45" customHeight="1" x14ac:dyDescent="0.25">
      <c r="B26" s="39"/>
      <c r="C26" s="40"/>
      <c r="D26" s="4"/>
      <c r="E26" s="5"/>
      <c r="F26" s="6"/>
      <c r="G26" s="5"/>
      <c r="H26" s="187"/>
      <c r="I26" s="6"/>
      <c r="J26" s="6"/>
      <c r="K26" s="41"/>
    </row>
    <row r="27" spans="2:11" s="8" customFormat="1" ht="22.9" customHeight="1" x14ac:dyDescent="0.3">
      <c r="B27" s="42" t="s">
        <v>146</v>
      </c>
      <c r="C27" s="188"/>
      <c r="D27" s="188"/>
      <c r="F27" s="355">
        <f>+(F21*H21)/(F24*H24)</f>
        <v>142217.67260219032</v>
      </c>
      <c r="G27" s="356"/>
      <c r="H27" s="188"/>
      <c r="I27" s="188"/>
      <c r="J27" s="43"/>
      <c r="K27" s="44"/>
    </row>
    <row r="28" spans="2:11" x14ac:dyDescent="0.25">
      <c r="B28" s="45"/>
      <c r="C28" s="46"/>
      <c r="D28" s="46"/>
      <c r="E28" s="46"/>
      <c r="F28" s="46"/>
      <c r="G28" s="46"/>
      <c r="H28" s="46"/>
      <c r="I28" s="46"/>
      <c r="J28" s="46"/>
      <c r="K28" s="47"/>
    </row>
    <row r="29" spans="2:11" x14ac:dyDescent="0.25">
      <c r="E29" s="9"/>
    </row>
    <row r="30" spans="2:11" ht="15.75" x14ac:dyDescent="0.25">
      <c r="B30" s="375" t="s">
        <v>31</v>
      </c>
      <c r="C30" s="376"/>
      <c r="D30" s="376"/>
      <c r="E30" s="376"/>
      <c r="F30" s="376"/>
      <c r="G30" s="376"/>
      <c r="H30" s="376"/>
      <c r="I30" s="376"/>
      <c r="J30" s="376"/>
      <c r="K30" s="377"/>
    </row>
    <row r="31" spans="2:11" ht="14.45" customHeight="1" x14ac:dyDescent="0.25">
      <c r="B31" s="378" t="s">
        <v>37</v>
      </c>
      <c r="C31" s="379"/>
      <c r="D31" s="350" t="s">
        <v>35</v>
      </c>
      <c r="E31" s="350"/>
      <c r="F31" s="350"/>
      <c r="G31" s="350"/>
      <c r="H31" s="350"/>
      <c r="I31" s="350"/>
      <c r="J31" s="350"/>
      <c r="K31" s="351"/>
    </row>
    <row r="32" spans="2:11" x14ac:dyDescent="0.25">
      <c r="B32" s="378"/>
      <c r="C32" s="379"/>
      <c r="D32" s="350"/>
      <c r="E32" s="350"/>
      <c r="F32" s="350"/>
      <c r="G32" s="350"/>
      <c r="H32" s="350"/>
      <c r="I32" s="350"/>
      <c r="J32" s="350"/>
      <c r="K32" s="351"/>
    </row>
    <row r="33" spans="2:12" s="3" customFormat="1" ht="17.45" customHeight="1" thickBot="1" x14ac:dyDescent="0.3">
      <c r="B33" s="378"/>
      <c r="C33" s="379"/>
      <c r="D33" s="350"/>
      <c r="E33" s="350"/>
      <c r="F33" s="350"/>
      <c r="G33" s="350"/>
      <c r="H33" s="350"/>
      <c r="I33" s="350"/>
      <c r="J33" s="350"/>
      <c r="K33" s="351"/>
    </row>
    <row r="34" spans="2:12" x14ac:dyDescent="0.25">
      <c r="B34" s="378"/>
      <c r="C34" s="379"/>
      <c r="D34" s="352" t="s">
        <v>36</v>
      </c>
      <c r="E34" s="352"/>
      <c r="F34" s="352"/>
      <c r="G34" s="352"/>
      <c r="H34" s="352"/>
      <c r="I34" s="352"/>
      <c r="J34" s="352"/>
      <c r="K34" s="353"/>
    </row>
    <row r="35" spans="2:12" x14ac:dyDescent="0.25">
      <c r="B35" s="378"/>
      <c r="C35" s="379"/>
      <c r="D35" s="350"/>
      <c r="E35" s="350"/>
      <c r="F35" s="350"/>
      <c r="G35" s="350"/>
      <c r="H35" s="350"/>
      <c r="I35" s="350"/>
      <c r="J35" s="350"/>
      <c r="K35" s="351"/>
    </row>
    <row r="36" spans="2:12" x14ac:dyDescent="0.25">
      <c r="B36" s="378"/>
      <c r="C36" s="379"/>
      <c r="D36" s="350"/>
      <c r="E36" s="350"/>
      <c r="F36" s="350"/>
      <c r="G36" s="350"/>
      <c r="H36" s="350"/>
      <c r="I36" s="350"/>
      <c r="J36" s="350"/>
      <c r="K36" s="351"/>
    </row>
    <row r="37" spans="2:12" x14ac:dyDescent="0.25">
      <c r="B37" s="378"/>
      <c r="C37" s="379"/>
      <c r="D37" s="350"/>
      <c r="E37" s="350"/>
      <c r="F37" s="350"/>
      <c r="G37" s="350"/>
      <c r="H37" s="350"/>
      <c r="I37" s="350"/>
      <c r="J37" s="350"/>
      <c r="K37" s="351"/>
    </row>
    <row r="38" spans="2:12" x14ac:dyDescent="0.25">
      <c r="B38" s="48"/>
      <c r="C38" s="49"/>
      <c r="D38" s="5"/>
      <c r="E38" s="5"/>
      <c r="F38" s="5"/>
      <c r="G38" s="5"/>
      <c r="H38" s="5"/>
      <c r="I38" s="5"/>
      <c r="J38" s="5"/>
      <c r="K38" s="38"/>
    </row>
    <row r="39" spans="2:12" x14ac:dyDescent="0.25">
      <c r="B39" s="48"/>
      <c r="C39" s="49"/>
      <c r="D39" s="5"/>
      <c r="E39" s="5"/>
      <c r="F39" s="5"/>
      <c r="G39" s="5"/>
      <c r="H39" s="5"/>
      <c r="I39" s="5"/>
      <c r="J39" s="5"/>
      <c r="K39" s="38"/>
    </row>
    <row r="40" spans="2:12" s="3" customFormat="1" ht="23.45" customHeight="1" x14ac:dyDescent="0.25">
      <c r="B40" s="181"/>
      <c r="C40" s="182"/>
      <c r="D40" s="183"/>
      <c r="E40" s="183"/>
      <c r="F40" s="183"/>
      <c r="G40" s="183"/>
      <c r="H40" s="183"/>
      <c r="I40" s="189"/>
      <c r="J40" s="189"/>
      <c r="K40" s="190"/>
    </row>
    <row r="41" spans="2:12" ht="25.5" customHeight="1" x14ac:dyDescent="0.25">
      <c r="B41" s="369" t="s">
        <v>167</v>
      </c>
      <c r="C41" s="370"/>
      <c r="D41" s="4"/>
      <c r="E41" s="5"/>
      <c r="F41" s="6"/>
      <c r="G41" s="5"/>
      <c r="H41" s="6"/>
      <c r="K41" s="38"/>
    </row>
    <row r="42" spans="2:12" x14ac:dyDescent="0.25">
      <c r="B42" s="39"/>
      <c r="C42" s="40"/>
      <c r="D42" s="4"/>
      <c r="E42" s="5"/>
      <c r="F42" s="6"/>
      <c r="G42" s="5"/>
      <c r="H42" s="6"/>
      <c r="K42" s="38"/>
    </row>
    <row r="43" spans="2:12" x14ac:dyDescent="0.25">
      <c r="B43" s="39"/>
      <c r="C43" s="40"/>
      <c r="D43" s="4"/>
      <c r="E43" s="5"/>
      <c r="F43" s="6"/>
      <c r="G43" s="5"/>
      <c r="H43" s="6"/>
      <c r="K43" s="38"/>
    </row>
    <row r="44" spans="2:12" ht="15.75" thickBot="1" x14ac:dyDescent="0.3">
      <c r="B44" s="39"/>
      <c r="C44" s="40"/>
      <c r="D44" s="4"/>
      <c r="E44" s="5"/>
      <c r="F44" s="6"/>
      <c r="G44" s="5"/>
      <c r="H44" s="6"/>
      <c r="K44" s="38"/>
    </row>
    <row r="45" spans="2:12" s="3" customFormat="1" ht="25.15" customHeight="1" thickBot="1" x14ac:dyDescent="0.3">
      <c r="B45" s="39"/>
      <c r="C45" s="40"/>
      <c r="D45" s="4"/>
      <c r="E45" s="5"/>
      <c r="F45" s="21">
        <f>((GOA!F22+GOA!F26)*(1-'CAPM-WACC'!C24))</f>
        <v>29399553.993978951</v>
      </c>
      <c r="G45" s="185" t="s">
        <v>3</v>
      </c>
      <c r="H45" s="20">
        <f>(1+'CAPM-WACC'!J46)</f>
        <v>1.1392967120809028</v>
      </c>
      <c r="I45" s="6"/>
      <c r="J45" s="6"/>
      <c r="K45" s="41"/>
    </row>
    <row r="46" spans="2:12" s="3" customFormat="1" ht="10.15" customHeight="1" x14ac:dyDescent="0.25">
      <c r="B46" s="39"/>
      <c r="C46" s="40"/>
      <c r="D46" s="18"/>
      <c r="E46" s="185"/>
      <c r="F46" s="354"/>
      <c r="G46" s="354"/>
      <c r="H46" s="354"/>
      <c r="I46" s="6"/>
      <c r="J46" s="6"/>
      <c r="K46" s="41"/>
    </row>
    <row r="47" spans="2:12" s="3" customFormat="1" ht="10.15" customHeight="1" thickBot="1" x14ac:dyDescent="0.3">
      <c r="B47" s="39"/>
      <c r="C47" s="40"/>
      <c r="D47" s="18"/>
      <c r="E47" s="185"/>
      <c r="F47" s="19"/>
      <c r="G47" s="19"/>
      <c r="H47" s="19"/>
      <c r="I47" s="6"/>
      <c r="J47" s="6"/>
      <c r="K47" s="41"/>
    </row>
    <row r="48" spans="2:12" s="3" customFormat="1" ht="25.15" customHeight="1" thickBot="1" x14ac:dyDescent="0.3">
      <c r="B48" s="39"/>
      <c r="C48" s="40"/>
      <c r="D48" s="18"/>
      <c r="E48" s="185"/>
      <c r="F48" s="7">
        <f>+(Qn!F12*CAx!H12*PA!H12)</f>
        <v>270</v>
      </c>
      <c r="G48" s="185" t="s">
        <v>3</v>
      </c>
      <c r="H48" s="20">
        <f>+(1-'CAPM-WACC'!C24)-('CAPM-WACC'!J46*'CAPM-WACC'!C24)</f>
        <v>0.65821098637572917</v>
      </c>
      <c r="I48" s="6"/>
      <c r="J48" s="23"/>
      <c r="K48" s="50"/>
      <c r="L48" s="22"/>
    </row>
    <row r="49" spans="2:11" x14ac:dyDescent="0.25">
      <c r="B49" s="39"/>
      <c r="C49" s="40"/>
      <c r="D49" s="4"/>
      <c r="E49" s="5"/>
      <c r="F49" s="6"/>
      <c r="G49" s="5"/>
      <c r="H49" s="6"/>
      <c r="K49" s="38"/>
    </row>
    <row r="50" spans="2:11" x14ac:dyDescent="0.25">
      <c r="B50" s="39"/>
      <c r="C50" s="40"/>
      <c r="D50" s="4"/>
      <c r="E50" s="5"/>
      <c r="F50" s="6"/>
      <c r="G50" s="5"/>
      <c r="H50" s="23"/>
      <c r="K50" s="38"/>
    </row>
    <row r="51" spans="2:11" s="8" customFormat="1" ht="22.9" customHeight="1" x14ac:dyDescent="0.3">
      <c r="B51" s="42" t="s">
        <v>168</v>
      </c>
      <c r="C51" s="188"/>
      <c r="D51" s="188"/>
      <c r="E51" s="355">
        <f>(F45*H45)/(F48*H48)</f>
        <v>188472.8053561369</v>
      </c>
      <c r="F51" s="356"/>
      <c r="G51" s="188"/>
      <c r="H51" s="51"/>
      <c r="I51" s="188"/>
      <c r="J51" s="51"/>
      <c r="K51" s="44"/>
    </row>
    <row r="52" spans="2:11" x14ac:dyDescent="0.25">
      <c r="B52" s="45"/>
      <c r="C52" s="46"/>
      <c r="D52" s="46"/>
      <c r="E52" s="46"/>
      <c r="F52" s="46"/>
      <c r="G52" s="46"/>
      <c r="H52" s="52"/>
      <c r="I52" s="46"/>
      <c r="J52" s="46"/>
      <c r="K52" s="47"/>
    </row>
    <row r="53" spans="2:11" ht="15.75" thickBot="1" x14ac:dyDescent="0.3">
      <c r="E53" s="9"/>
    </row>
    <row r="54" spans="2:11" ht="23.25" customHeight="1" thickBot="1" x14ac:dyDescent="0.3">
      <c r="B54" s="357" t="s">
        <v>164</v>
      </c>
      <c r="C54" s="358"/>
      <c r="D54" s="358"/>
      <c r="E54" s="358"/>
      <c r="F54" s="358"/>
      <c r="G54" s="358"/>
      <c r="H54" s="358"/>
      <c r="I54" s="358"/>
      <c r="J54" s="358"/>
      <c r="K54" s="359"/>
    </row>
  </sheetData>
  <mergeCells count="18">
    <mergeCell ref="B2:K2"/>
    <mergeCell ref="B3:K3"/>
    <mergeCell ref="B4:K4"/>
    <mergeCell ref="B41:C41"/>
    <mergeCell ref="B17:C17"/>
    <mergeCell ref="B8:C13"/>
    <mergeCell ref="F22:H22"/>
    <mergeCell ref="F27:G27"/>
    <mergeCell ref="D8:K10"/>
    <mergeCell ref="D11:K13"/>
    <mergeCell ref="B6:K6"/>
    <mergeCell ref="B30:K30"/>
    <mergeCell ref="B31:C37"/>
    <mergeCell ref="D31:K33"/>
    <mergeCell ref="D34:K37"/>
    <mergeCell ref="F46:H46"/>
    <mergeCell ref="E51:F51"/>
    <mergeCell ref="B54:K5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  <pageSetUpPr fitToPage="1"/>
  </sheetPr>
  <dimension ref="A1:I18"/>
  <sheetViews>
    <sheetView showGridLines="0" zoomScaleNormal="100" zoomScaleSheetLayoutView="100" workbookViewId="0">
      <selection activeCell="B4" sqref="B4:C4"/>
    </sheetView>
  </sheetViews>
  <sheetFormatPr baseColWidth="10" defaultColWidth="11.5703125" defaultRowHeight="15.75" x14ac:dyDescent="0.25"/>
  <cols>
    <col min="1" max="1" width="2.85546875" style="28" customWidth="1"/>
    <col min="2" max="2" width="52.7109375" style="28" customWidth="1"/>
    <col min="3" max="3" width="17.7109375" style="29" customWidth="1"/>
    <col min="4" max="4" width="12.5703125" style="30" bestFit="1" customWidth="1"/>
    <col min="5" max="16384" width="11.5703125" style="28"/>
  </cols>
  <sheetData>
    <row r="1" spans="1:6" ht="16.5" thickBot="1" x14ac:dyDescent="0.3"/>
    <row r="2" spans="1:6" ht="18.75" x14ac:dyDescent="0.25">
      <c r="B2" s="380"/>
      <c r="C2" s="381"/>
    </row>
    <row r="3" spans="1:6" ht="18.75" x14ac:dyDescent="0.25">
      <c r="B3" s="387" t="s">
        <v>224</v>
      </c>
      <c r="C3" s="388"/>
    </row>
    <row r="4" spans="1:6" ht="30" customHeight="1" thickBot="1" x14ac:dyDescent="0.3">
      <c r="B4" s="382" t="str">
        <f>+Qn!B4</f>
        <v>Nueva Carrera - Bachillerato en XXX</v>
      </c>
      <c r="C4" s="383"/>
    </row>
    <row r="5" spans="1:6" ht="7.5" customHeight="1" x14ac:dyDescent="0.25"/>
    <row r="6" spans="1:6" x14ac:dyDescent="0.25">
      <c r="B6" s="26" t="s">
        <v>2</v>
      </c>
      <c r="C6" s="27" t="s">
        <v>46</v>
      </c>
    </row>
    <row r="7" spans="1:6" x14ac:dyDescent="0.25">
      <c r="B7" s="386" t="s">
        <v>150</v>
      </c>
      <c r="C7" s="386"/>
    </row>
    <row r="8" spans="1:6" x14ac:dyDescent="0.25">
      <c r="B8" s="31" t="s">
        <v>0</v>
      </c>
      <c r="C8" s="32">
        <f>+'Calculo de Tarifas'!F27</f>
        <v>142217.67260219032</v>
      </c>
      <c r="D8" s="29"/>
      <c r="E8" s="33"/>
      <c r="F8" s="33"/>
    </row>
    <row r="9" spans="1:6" x14ac:dyDescent="0.25">
      <c r="B9" s="31" t="s">
        <v>1</v>
      </c>
      <c r="C9" s="32">
        <f>+'Calculo de Tarifas'!E51</f>
        <v>188472.8053561369</v>
      </c>
      <c r="D9" s="29"/>
      <c r="E9" s="33"/>
      <c r="F9" s="33"/>
    </row>
    <row r="10" spans="1:6" ht="16.5" thickBot="1" x14ac:dyDescent="0.3">
      <c r="A10" s="34"/>
      <c r="B10" s="35"/>
      <c r="C10" s="36"/>
    </row>
    <row r="11" spans="1:6" ht="23.45" customHeight="1" thickBot="1" x14ac:dyDescent="0.3">
      <c r="B11" s="384" t="s">
        <v>157</v>
      </c>
      <c r="C11" s="385"/>
    </row>
    <row r="18" spans="9:9" x14ac:dyDescent="0.25">
      <c r="I18" s="125"/>
    </row>
  </sheetData>
  <mergeCells count="5">
    <mergeCell ref="B2:C2"/>
    <mergeCell ref="B4:C4"/>
    <mergeCell ref="B11:C11"/>
    <mergeCell ref="B7:C7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  <pageSetUpPr fitToPage="1"/>
  </sheetPr>
  <dimension ref="B1:E20"/>
  <sheetViews>
    <sheetView showGridLines="0" zoomScaleNormal="100" zoomScaleSheetLayoutView="100" workbookViewId="0">
      <selection activeCell="B3" sqref="B3:E3"/>
    </sheetView>
  </sheetViews>
  <sheetFormatPr baseColWidth="10" defaultColWidth="11.5703125" defaultRowHeight="15" x14ac:dyDescent="0.25"/>
  <cols>
    <col min="1" max="1" width="2.85546875" style="1" customWidth="1"/>
    <col min="2" max="2" width="6.5703125" style="1" customWidth="1"/>
    <col min="3" max="3" width="38" style="1" customWidth="1"/>
    <col min="4" max="4" width="13" style="1" customWidth="1"/>
    <col min="5" max="5" width="67.7109375" style="1" customWidth="1"/>
    <col min="6" max="16384" width="11.5703125" style="1"/>
  </cols>
  <sheetData>
    <row r="1" spans="2:5" ht="15.75" thickBot="1" x14ac:dyDescent="0.3"/>
    <row r="2" spans="2:5" ht="18.75" x14ac:dyDescent="0.3">
      <c r="B2" s="360" t="s">
        <v>196</v>
      </c>
      <c r="C2" s="361"/>
      <c r="D2" s="361"/>
      <c r="E2" s="362"/>
    </row>
    <row r="3" spans="2:5" ht="18.75" x14ac:dyDescent="0.3">
      <c r="B3" s="363" t="s">
        <v>155</v>
      </c>
      <c r="C3" s="364"/>
      <c r="D3" s="364"/>
      <c r="E3" s="365"/>
    </row>
    <row r="4" spans="2:5" ht="15.75" thickBot="1" x14ac:dyDescent="0.3">
      <c r="B4" s="389" t="s">
        <v>156</v>
      </c>
      <c r="C4" s="390"/>
      <c r="D4" s="390"/>
      <c r="E4" s="391"/>
    </row>
    <row r="5" spans="2:5" ht="7.5" customHeight="1" x14ac:dyDescent="0.25"/>
    <row r="6" spans="2:5" ht="15.75" x14ac:dyDescent="0.25">
      <c r="B6" s="395" t="s">
        <v>4</v>
      </c>
      <c r="C6" s="395"/>
      <c r="D6" s="26" t="s">
        <v>28</v>
      </c>
      <c r="E6" s="26" t="s">
        <v>5</v>
      </c>
    </row>
    <row r="7" spans="2:5" ht="15.75" x14ac:dyDescent="0.25">
      <c r="B7" s="261">
        <v>1</v>
      </c>
      <c r="C7" s="10" t="s">
        <v>6</v>
      </c>
      <c r="D7" s="10" t="s">
        <v>42</v>
      </c>
      <c r="E7" s="10" t="s">
        <v>7</v>
      </c>
    </row>
    <row r="8" spans="2:5" ht="15.75" x14ac:dyDescent="0.25">
      <c r="B8" s="261">
        <v>2</v>
      </c>
      <c r="C8" s="10" t="s">
        <v>8</v>
      </c>
      <c r="D8" s="10" t="s">
        <v>43</v>
      </c>
      <c r="E8" s="10" t="s">
        <v>7</v>
      </c>
    </row>
    <row r="9" spans="2:5" ht="15.75" x14ac:dyDescent="0.25">
      <c r="B9" s="261">
        <v>3</v>
      </c>
      <c r="C9" s="10" t="s">
        <v>38</v>
      </c>
      <c r="D9" s="10" t="s">
        <v>39</v>
      </c>
      <c r="E9" s="10" t="s">
        <v>9</v>
      </c>
    </row>
    <row r="10" spans="2:5" ht="16.5" customHeight="1" x14ac:dyDescent="0.25">
      <c r="B10" s="261">
        <v>4</v>
      </c>
      <c r="C10" s="10" t="s">
        <v>181</v>
      </c>
      <c r="D10" s="10" t="s">
        <v>180</v>
      </c>
      <c r="E10" s="10" t="s">
        <v>9</v>
      </c>
    </row>
    <row r="11" spans="2:5" ht="15.75" x14ac:dyDescent="0.25">
      <c r="B11" s="261">
        <v>5</v>
      </c>
      <c r="C11" s="10" t="s">
        <v>182</v>
      </c>
      <c r="D11" s="10" t="s">
        <v>133</v>
      </c>
      <c r="E11" s="10" t="s">
        <v>9</v>
      </c>
    </row>
    <row r="12" spans="2:5" ht="15.75" x14ac:dyDescent="0.25">
      <c r="B12" s="261">
        <v>6</v>
      </c>
      <c r="C12" s="10" t="s">
        <v>41</v>
      </c>
      <c r="D12" s="10" t="s">
        <v>29</v>
      </c>
      <c r="E12" s="10" t="s">
        <v>9</v>
      </c>
    </row>
    <row r="13" spans="2:5" ht="15.75" x14ac:dyDescent="0.25">
      <c r="B13" s="261">
        <v>7</v>
      </c>
      <c r="C13" s="10" t="s">
        <v>183</v>
      </c>
      <c r="D13" s="10" t="s">
        <v>74</v>
      </c>
      <c r="E13" s="10" t="s">
        <v>72</v>
      </c>
    </row>
    <row r="14" spans="2:5" ht="15.75" x14ac:dyDescent="0.25">
      <c r="B14" s="261">
        <v>8</v>
      </c>
      <c r="C14" s="10" t="s">
        <v>57</v>
      </c>
      <c r="D14" s="10" t="s">
        <v>75</v>
      </c>
      <c r="E14" s="10" t="s">
        <v>72</v>
      </c>
    </row>
    <row r="15" spans="2:5" ht="15.75" x14ac:dyDescent="0.25">
      <c r="B15" s="261">
        <v>9</v>
      </c>
      <c r="C15" s="10" t="s">
        <v>191</v>
      </c>
      <c r="D15" s="10" t="s">
        <v>192</v>
      </c>
      <c r="E15" s="10" t="s">
        <v>72</v>
      </c>
    </row>
    <row r="16" spans="2:5" ht="15.75" x14ac:dyDescent="0.25">
      <c r="B16" s="261">
        <v>10</v>
      </c>
      <c r="C16" s="25" t="s">
        <v>73</v>
      </c>
      <c r="D16" s="25" t="s">
        <v>179</v>
      </c>
      <c r="E16" s="25" t="s">
        <v>72</v>
      </c>
    </row>
    <row r="17" spans="2:5" ht="15.75" x14ac:dyDescent="0.25">
      <c r="B17" s="261">
        <v>11</v>
      </c>
      <c r="C17" s="25" t="s">
        <v>184</v>
      </c>
      <c r="D17" s="25" t="s">
        <v>40</v>
      </c>
      <c r="E17" s="10" t="s">
        <v>9</v>
      </c>
    </row>
    <row r="18" spans="2:5" ht="15.75" x14ac:dyDescent="0.25">
      <c r="B18" s="261">
        <v>12</v>
      </c>
      <c r="C18" s="25" t="s">
        <v>165</v>
      </c>
      <c r="D18" s="25" t="s">
        <v>185</v>
      </c>
      <c r="E18" s="10" t="s">
        <v>9</v>
      </c>
    </row>
    <row r="19" spans="2:5" ht="15.75" thickBot="1" x14ac:dyDescent="0.3"/>
    <row r="20" spans="2:5" ht="16.5" thickBot="1" x14ac:dyDescent="0.3">
      <c r="B20" s="392" t="s">
        <v>159</v>
      </c>
      <c r="C20" s="393"/>
      <c r="D20" s="393"/>
      <c r="E20" s="394"/>
    </row>
  </sheetData>
  <mergeCells count="5">
    <mergeCell ref="B2:E2"/>
    <mergeCell ref="B3:E3"/>
    <mergeCell ref="B4:E4"/>
    <mergeCell ref="B20:E20"/>
    <mergeCell ref="B6:C6"/>
  </mergeCells>
  <printOptions horizontalCentered="1"/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B1:J54"/>
  <sheetViews>
    <sheetView showGridLines="0" zoomScale="85" zoomScaleNormal="85" zoomScaleSheetLayoutView="80" workbookViewId="0">
      <selection activeCell="D50" sqref="D50"/>
    </sheetView>
  </sheetViews>
  <sheetFormatPr baseColWidth="10" defaultColWidth="11.42578125" defaultRowHeight="14.25" x14ac:dyDescent="0.2"/>
  <cols>
    <col min="1" max="1" width="4.28515625" style="191" customWidth="1"/>
    <col min="2" max="2" width="73.42578125" style="191" customWidth="1"/>
    <col min="3" max="3" width="21.5703125" style="191" customWidth="1"/>
    <col min="4" max="4" width="8.85546875" style="191" bestFit="1" customWidth="1"/>
    <col min="5" max="5" width="16.28515625" style="192" customWidth="1"/>
    <col min="6" max="6" width="15.140625" style="191" customWidth="1"/>
    <col min="7" max="7" width="6.7109375" style="191" customWidth="1"/>
    <col min="8" max="8" width="15.7109375" style="191" customWidth="1"/>
    <col min="9" max="9" width="13.85546875" style="191" bestFit="1" customWidth="1"/>
    <col min="10" max="10" width="12.7109375" style="191" bestFit="1" customWidth="1"/>
    <col min="11" max="16384" width="11.42578125" style="191"/>
  </cols>
  <sheetData>
    <row r="1" spans="2:10" ht="10.5" customHeight="1" x14ac:dyDescent="0.2"/>
    <row r="2" spans="2:10" s="193" customFormat="1" ht="22.5" hidden="1" x14ac:dyDescent="0.3">
      <c r="C2" s="194"/>
      <c r="D2" s="195"/>
      <c r="G2" s="191"/>
      <c r="H2" s="191"/>
    </row>
    <row r="3" spans="2:10" s="193" customFormat="1" x14ac:dyDescent="0.2">
      <c r="C3" s="194"/>
      <c r="G3" s="191"/>
      <c r="H3" s="191"/>
    </row>
    <row r="4" spans="2:10" s="193" customFormat="1" ht="22.5" x14ac:dyDescent="0.3">
      <c r="B4" s="295" t="s">
        <v>169</v>
      </c>
      <c r="C4" s="295"/>
      <c r="D4" s="295"/>
      <c r="E4" s="295"/>
      <c r="F4" s="295"/>
      <c r="G4" s="295"/>
      <c r="H4" s="295"/>
      <c r="I4" s="295"/>
      <c r="J4" s="295"/>
    </row>
    <row r="5" spans="2:10" s="193" customFormat="1" ht="12.75" x14ac:dyDescent="0.2">
      <c r="C5" s="194"/>
      <c r="G5" s="197"/>
    </row>
    <row r="6" spans="2:10" s="193" customFormat="1" ht="13.5" thickBot="1" x14ac:dyDescent="0.25">
      <c r="E6" s="198"/>
    </row>
    <row r="7" spans="2:10" s="193" customFormat="1" x14ac:dyDescent="0.2">
      <c r="B7" s="302" t="s">
        <v>86</v>
      </c>
      <c r="C7" s="303"/>
      <c r="D7" s="303"/>
      <c r="E7" s="199">
        <v>2024</v>
      </c>
      <c r="F7" s="200"/>
      <c r="G7" s="200"/>
      <c r="H7" s="201"/>
      <c r="I7" s="200"/>
      <c r="J7" s="202"/>
    </row>
    <row r="8" spans="2:10" s="193" customFormat="1" x14ac:dyDescent="0.2">
      <c r="B8" s="297" t="s">
        <v>87</v>
      </c>
      <c r="C8" s="298"/>
      <c r="D8" s="298"/>
      <c r="E8" s="398">
        <v>0.115</v>
      </c>
      <c r="F8" s="205" t="s">
        <v>88</v>
      </c>
      <c r="G8" s="193" t="s">
        <v>107</v>
      </c>
      <c r="H8" s="205"/>
      <c r="J8" s="206"/>
    </row>
    <row r="9" spans="2:10" x14ac:dyDescent="0.2">
      <c r="B9" s="297" t="s">
        <v>89</v>
      </c>
      <c r="C9" s="298"/>
      <c r="D9" s="298"/>
      <c r="E9" s="398">
        <v>7.4399999999999994E-2</v>
      </c>
      <c r="F9" s="207" t="s">
        <v>90</v>
      </c>
      <c r="G9" s="193" t="s">
        <v>107</v>
      </c>
      <c r="H9" s="205"/>
      <c r="J9" s="208"/>
    </row>
    <row r="10" spans="2:10" x14ac:dyDescent="0.2">
      <c r="B10" s="297" t="s">
        <v>91</v>
      </c>
      <c r="C10" s="298"/>
      <c r="D10" s="298"/>
      <c r="E10" s="398">
        <v>4.7100000000000003E-2</v>
      </c>
      <c r="F10" s="205" t="s">
        <v>92</v>
      </c>
      <c r="G10" s="193" t="s">
        <v>107</v>
      </c>
      <c r="H10" s="205"/>
      <c r="J10" s="208"/>
    </row>
    <row r="11" spans="2:10" x14ac:dyDescent="0.2">
      <c r="B11" s="297" t="s">
        <v>78</v>
      </c>
      <c r="C11" s="298"/>
      <c r="D11" s="298"/>
      <c r="E11" s="209">
        <f>E9-E10</f>
        <v>2.7299999999999991E-2</v>
      </c>
      <c r="F11" s="205" t="s">
        <v>93</v>
      </c>
      <c r="G11" s="205" t="s">
        <v>94</v>
      </c>
      <c r="H11" s="205"/>
      <c r="J11" s="208"/>
    </row>
    <row r="12" spans="2:10" x14ac:dyDescent="0.2">
      <c r="B12" s="297" t="s">
        <v>79</v>
      </c>
      <c r="C12" s="298"/>
      <c r="D12" s="298"/>
      <c r="E12" s="209">
        <f>E8-E10</f>
        <v>6.7900000000000002E-2</v>
      </c>
      <c r="F12" s="205" t="s">
        <v>95</v>
      </c>
      <c r="G12" s="205" t="s">
        <v>96</v>
      </c>
      <c r="H12" s="205"/>
      <c r="J12" s="208"/>
    </row>
    <row r="13" spans="2:10" x14ac:dyDescent="0.2">
      <c r="B13" s="297" t="s">
        <v>80</v>
      </c>
      <c r="C13" s="298"/>
      <c r="D13" s="298"/>
      <c r="E13" s="210">
        <f>((E12*C25)-E12)</f>
        <v>-2.0747733860584927E-4</v>
      </c>
      <c r="F13" s="205" t="s">
        <v>97</v>
      </c>
      <c r="G13" s="205" t="s">
        <v>98</v>
      </c>
      <c r="H13" s="205"/>
      <c r="J13" s="208"/>
    </row>
    <row r="14" spans="2:10" x14ac:dyDescent="0.2">
      <c r="B14" s="297" t="s">
        <v>81</v>
      </c>
      <c r="C14" s="298"/>
      <c r="D14" s="298"/>
      <c r="E14" s="209">
        <f>+E10+E11+E12+E13</f>
        <v>0.14209252266139413</v>
      </c>
      <c r="F14" s="205" t="s">
        <v>99</v>
      </c>
      <c r="G14" s="205" t="s">
        <v>100</v>
      </c>
      <c r="H14" s="205"/>
      <c r="J14" s="208"/>
    </row>
    <row r="15" spans="2:10" x14ac:dyDescent="0.2">
      <c r="B15" s="297" t="s">
        <v>82</v>
      </c>
      <c r="C15" s="298"/>
      <c r="D15" s="298"/>
      <c r="E15" s="211"/>
      <c r="F15" s="193"/>
      <c r="G15" s="193"/>
      <c r="H15" s="205"/>
      <c r="J15" s="208"/>
    </row>
    <row r="16" spans="2:10" x14ac:dyDescent="0.2">
      <c r="B16" s="297" t="s">
        <v>101</v>
      </c>
      <c r="C16" s="298"/>
      <c r="D16" s="298"/>
      <c r="E16" s="210">
        <f>((((1+E14)*C35)-1)-E14)</f>
        <v>-6.5419764557460652E-2</v>
      </c>
      <c r="F16" s="205" t="s">
        <v>102</v>
      </c>
      <c r="G16" s="299" t="s">
        <v>103</v>
      </c>
      <c r="H16" s="299"/>
      <c r="J16" s="208"/>
    </row>
    <row r="17" spans="2:10" x14ac:dyDescent="0.2">
      <c r="B17" s="300" t="s">
        <v>83</v>
      </c>
      <c r="C17" s="301"/>
      <c r="D17" s="301"/>
      <c r="E17" s="209">
        <f>+E14+E16</f>
        <v>7.667275810393348E-2</v>
      </c>
      <c r="F17" s="205" t="s">
        <v>104</v>
      </c>
      <c r="G17" s="205" t="s">
        <v>105</v>
      </c>
      <c r="H17" s="205"/>
      <c r="J17" s="208"/>
    </row>
    <row r="18" spans="2:10" x14ac:dyDescent="0.2">
      <c r="B18" s="297" t="s">
        <v>84</v>
      </c>
      <c r="C18" s="298"/>
      <c r="D18" s="298"/>
      <c r="E18" s="399">
        <v>6.3600000000000004E-2</v>
      </c>
      <c r="F18" s="207" t="s">
        <v>106</v>
      </c>
      <c r="G18" s="193" t="s">
        <v>107</v>
      </c>
      <c r="H18" s="205"/>
      <c r="J18" s="208"/>
    </row>
    <row r="19" spans="2:10" ht="18" x14ac:dyDescent="0.2">
      <c r="B19" s="300" t="s">
        <v>108</v>
      </c>
      <c r="C19" s="301"/>
      <c r="D19" s="301"/>
      <c r="E19" s="212">
        <f>((1+E17)*(1+E18))-1</f>
        <v>0.14514914551934366</v>
      </c>
      <c r="F19" s="205" t="s">
        <v>109</v>
      </c>
      <c r="G19" s="205" t="s">
        <v>110</v>
      </c>
      <c r="H19" s="205"/>
      <c r="J19" s="208"/>
    </row>
    <row r="20" spans="2:10" x14ac:dyDescent="0.2">
      <c r="B20" s="203"/>
      <c r="C20" s="193"/>
      <c r="D20" s="193"/>
      <c r="E20" s="213"/>
      <c r="F20" s="193"/>
      <c r="G20" s="193"/>
      <c r="H20" s="205"/>
      <c r="J20" s="208"/>
    </row>
    <row r="21" spans="2:10" x14ac:dyDescent="0.2">
      <c r="B21" s="214" t="s">
        <v>111</v>
      </c>
      <c r="C21" s="193"/>
      <c r="D21" s="193"/>
      <c r="E21" s="213"/>
      <c r="F21" s="193"/>
      <c r="G21" s="193"/>
      <c r="H21" s="205"/>
      <c r="J21" s="208"/>
    </row>
    <row r="22" spans="2:10" x14ac:dyDescent="0.2">
      <c r="B22" s="203" t="s">
        <v>112</v>
      </c>
      <c r="C22" s="400">
        <v>0.99370000000000003</v>
      </c>
      <c r="D22" s="204" t="s">
        <v>113</v>
      </c>
      <c r="E22" s="193" t="s">
        <v>107</v>
      </c>
      <c r="F22" s="193"/>
      <c r="G22" s="193"/>
      <c r="H22" s="205"/>
      <c r="J22" s="208"/>
    </row>
    <row r="23" spans="2:10" x14ac:dyDescent="0.2">
      <c r="B23" s="203" t="s">
        <v>66</v>
      </c>
      <c r="C23" s="396">
        <f>+C30</f>
        <v>4.6641974333980086E-3</v>
      </c>
      <c r="D23" s="204" t="s">
        <v>114</v>
      </c>
      <c r="E23" s="213" t="s">
        <v>194</v>
      </c>
      <c r="F23" s="193"/>
      <c r="G23" s="193"/>
      <c r="H23" s="205"/>
      <c r="J23" s="208"/>
    </row>
    <row r="24" spans="2:10" x14ac:dyDescent="0.2">
      <c r="B24" s="203" t="s">
        <v>115</v>
      </c>
      <c r="C24" s="397">
        <v>0.3</v>
      </c>
      <c r="D24" s="204" t="s">
        <v>116</v>
      </c>
      <c r="E24" s="193" t="s">
        <v>107</v>
      </c>
      <c r="F24" s="193"/>
      <c r="G24" s="193"/>
      <c r="H24" s="205"/>
      <c r="J24" s="208"/>
    </row>
    <row r="25" spans="2:10" ht="18" x14ac:dyDescent="0.25">
      <c r="B25" s="215" t="s">
        <v>117</v>
      </c>
      <c r="C25" s="216">
        <f>+(C22*(1+(C23*(1-C24))))</f>
        <v>0.99694436909269746</v>
      </c>
      <c r="D25" s="217" t="s">
        <v>118</v>
      </c>
      <c r="E25" s="298" t="s">
        <v>119</v>
      </c>
      <c r="F25" s="298"/>
      <c r="G25" s="193"/>
      <c r="H25" s="205"/>
      <c r="J25" s="208"/>
    </row>
    <row r="26" spans="2:10" x14ac:dyDescent="0.2">
      <c r="B26" s="203"/>
      <c r="C26" s="193"/>
      <c r="D26" s="193"/>
      <c r="E26" s="213"/>
      <c r="F26" s="193"/>
      <c r="G26" s="193"/>
      <c r="H26" s="205"/>
      <c r="J26" s="208"/>
    </row>
    <row r="27" spans="2:10" x14ac:dyDescent="0.2">
      <c r="B27" s="214" t="s">
        <v>170</v>
      </c>
      <c r="C27" s="193"/>
      <c r="D27" s="193"/>
      <c r="E27" s="213"/>
      <c r="F27" s="193"/>
      <c r="G27" s="193"/>
      <c r="H27" s="205"/>
      <c r="J27" s="208"/>
    </row>
    <row r="28" spans="2:10" x14ac:dyDescent="0.2">
      <c r="B28" s="203" t="s">
        <v>193</v>
      </c>
      <c r="C28" s="218">
        <f>+Pt!G28</f>
        <v>82673937.675565004</v>
      </c>
      <c r="D28" s="204" t="s">
        <v>121</v>
      </c>
      <c r="E28" s="213" t="s">
        <v>190</v>
      </c>
      <c r="F28" s="193"/>
      <c r="G28" s="193"/>
      <c r="H28" s="205"/>
      <c r="J28" s="208"/>
    </row>
    <row r="29" spans="2:10" x14ac:dyDescent="0.2">
      <c r="B29" s="203" t="s">
        <v>57</v>
      </c>
      <c r="C29" s="218">
        <f>C45</f>
        <v>17725222582.470001</v>
      </c>
      <c r="D29" s="204" t="s">
        <v>122</v>
      </c>
      <c r="E29" s="213" t="s">
        <v>171</v>
      </c>
      <c r="F29" s="193"/>
      <c r="G29" s="193"/>
      <c r="H29" s="205"/>
      <c r="J29" s="208"/>
    </row>
    <row r="30" spans="2:10" ht="18" x14ac:dyDescent="0.25">
      <c r="B30" s="215" t="s">
        <v>120</v>
      </c>
      <c r="C30" s="219">
        <f>+C28/C29</f>
        <v>4.6641974333980086E-3</v>
      </c>
      <c r="D30" s="204" t="s">
        <v>22</v>
      </c>
      <c r="E30" s="220" t="s">
        <v>123</v>
      </c>
      <c r="F30" s="193"/>
      <c r="G30" s="193"/>
      <c r="H30" s="205"/>
      <c r="J30" s="208"/>
    </row>
    <row r="31" spans="2:10" x14ac:dyDescent="0.2">
      <c r="B31" s="203"/>
      <c r="C31" s="193"/>
      <c r="D31" s="193"/>
      <c r="E31" s="213"/>
      <c r="F31" s="193"/>
      <c r="G31" s="193"/>
      <c r="H31" s="205"/>
      <c r="J31" s="208"/>
    </row>
    <row r="32" spans="2:10" x14ac:dyDescent="0.2">
      <c r="B32" s="214" t="s">
        <v>124</v>
      </c>
      <c r="C32" s="301" t="s">
        <v>125</v>
      </c>
      <c r="D32" s="301"/>
      <c r="E32" s="213"/>
      <c r="F32" s="193"/>
      <c r="G32" s="193"/>
      <c r="H32" s="205"/>
      <c r="J32" s="208"/>
    </row>
    <row r="33" spans="2:10" x14ac:dyDescent="0.2">
      <c r="B33" s="203" t="s">
        <v>126</v>
      </c>
      <c r="C33" s="401">
        <v>-2.24E-2</v>
      </c>
      <c r="D33" s="204" t="s">
        <v>127</v>
      </c>
      <c r="E33" s="193" t="s">
        <v>107</v>
      </c>
      <c r="G33" s="193"/>
      <c r="H33" s="205"/>
      <c r="J33" s="208"/>
    </row>
    <row r="34" spans="2:10" x14ac:dyDescent="0.2">
      <c r="B34" s="203" t="s">
        <v>128</v>
      </c>
      <c r="C34" s="401">
        <v>3.6999999999999998E-2</v>
      </c>
      <c r="D34" s="204" t="s">
        <v>129</v>
      </c>
      <c r="E34" s="193" t="s">
        <v>107</v>
      </c>
      <c r="G34" s="193"/>
      <c r="H34" s="205"/>
      <c r="J34" s="208"/>
    </row>
    <row r="35" spans="2:10" ht="18" x14ac:dyDescent="0.2">
      <c r="B35" s="215" t="s">
        <v>130</v>
      </c>
      <c r="C35" s="221">
        <f>(1+C33)/(1+C34)</f>
        <v>0.94271938283510137</v>
      </c>
      <c r="D35" s="217" t="s">
        <v>131</v>
      </c>
      <c r="E35" s="220" t="s">
        <v>132</v>
      </c>
      <c r="F35" s="193"/>
      <c r="G35" s="193"/>
      <c r="H35" s="205"/>
      <c r="J35" s="208"/>
    </row>
    <row r="36" spans="2:10" x14ac:dyDescent="0.2">
      <c r="B36" s="203"/>
      <c r="C36" s="193"/>
      <c r="D36" s="193"/>
      <c r="E36" s="213"/>
      <c r="F36" s="193"/>
      <c r="G36" s="193"/>
      <c r="H36" s="205"/>
      <c r="J36" s="208"/>
    </row>
    <row r="37" spans="2:10" x14ac:dyDescent="0.2">
      <c r="B37" s="222"/>
      <c r="C37" s="193"/>
      <c r="D37" s="193"/>
      <c r="E37" s="213"/>
      <c r="F37" s="193"/>
      <c r="G37" s="193"/>
      <c r="H37" s="205"/>
      <c r="J37" s="208"/>
    </row>
    <row r="38" spans="2:10" ht="15" thickBot="1" x14ac:dyDescent="0.25">
      <c r="B38" s="223"/>
      <c r="C38" s="224"/>
      <c r="D38" s="224"/>
      <c r="E38" s="225"/>
      <c r="F38" s="224"/>
      <c r="G38" s="224"/>
      <c r="H38" s="226"/>
      <c r="I38" s="227"/>
      <c r="J38" s="228"/>
    </row>
    <row r="39" spans="2:10" ht="15" thickBot="1" x14ac:dyDescent="0.25">
      <c r="B39" s="205"/>
      <c r="C39" s="193"/>
      <c r="D39" s="193"/>
      <c r="E39" s="213"/>
      <c r="F39" s="193"/>
      <c r="G39" s="193"/>
      <c r="H39" s="205"/>
    </row>
    <row r="40" spans="2:10" x14ac:dyDescent="0.2">
      <c r="B40" s="229"/>
      <c r="C40" s="200"/>
      <c r="D40" s="200"/>
      <c r="E40" s="230"/>
      <c r="F40" s="200"/>
      <c r="G40" s="200"/>
      <c r="H40" s="201"/>
      <c r="I40" s="231"/>
      <c r="J40" s="232"/>
    </row>
    <row r="41" spans="2:10" ht="22.5" x14ac:dyDescent="0.3">
      <c r="B41" s="294" t="s">
        <v>172</v>
      </c>
      <c r="C41" s="295"/>
      <c r="D41" s="295"/>
      <c r="E41" s="295"/>
      <c r="F41" s="295"/>
      <c r="G41" s="295"/>
      <c r="H41" s="295"/>
      <c r="I41" s="295"/>
      <c r="J41" s="296"/>
    </row>
    <row r="42" spans="2:10" ht="23.25" thickBot="1" x14ac:dyDescent="0.35">
      <c r="B42" s="233"/>
      <c r="C42" s="196"/>
      <c r="D42" s="196"/>
      <c r="E42" s="196"/>
      <c r="F42" s="196"/>
      <c r="G42" s="196"/>
      <c r="H42" s="196"/>
      <c r="I42" s="196"/>
      <c r="J42" s="234"/>
    </row>
    <row r="43" spans="2:10" ht="15" thickBot="1" x14ac:dyDescent="0.25">
      <c r="B43" s="235" t="s">
        <v>134</v>
      </c>
      <c r="C43" s="236" t="s">
        <v>135</v>
      </c>
      <c r="D43" s="236" t="s">
        <v>136</v>
      </c>
      <c r="E43" s="237" t="s">
        <v>76</v>
      </c>
      <c r="F43" s="237" t="s">
        <v>137</v>
      </c>
      <c r="G43" s="237" t="s">
        <v>76</v>
      </c>
      <c r="H43" s="236" t="s">
        <v>27</v>
      </c>
      <c r="I43" s="237" t="s">
        <v>76</v>
      </c>
      <c r="J43" s="236" t="s">
        <v>27</v>
      </c>
    </row>
    <row r="44" spans="2:10" ht="15" thickBot="1" x14ac:dyDescent="0.25">
      <c r="B44" s="238" t="s">
        <v>138</v>
      </c>
      <c r="C44" s="239">
        <v>2361305611.3299999</v>
      </c>
      <c r="D44" s="240">
        <f>+C44/C46</f>
        <v>0.11755668219751639</v>
      </c>
      <c r="E44" s="241" t="s">
        <v>67</v>
      </c>
      <c r="F44" s="241">
        <f>+((C44/(C44+C45)))</f>
        <v>0.11755668219751639</v>
      </c>
      <c r="G44" s="241" t="s">
        <v>68</v>
      </c>
      <c r="H44" s="242">
        <f>+(D50*(1-30%))</f>
        <v>9.5365217213101122E-2</v>
      </c>
      <c r="I44" s="241" t="s">
        <v>151</v>
      </c>
      <c r="J44" s="242">
        <f>+H44*F44</f>
        <v>1.1210818532617649E-2</v>
      </c>
    </row>
    <row r="45" spans="2:10" ht="15" thickBot="1" x14ac:dyDescent="0.25">
      <c r="B45" s="223" t="s">
        <v>57</v>
      </c>
      <c r="C45" s="239">
        <v>17725222582.470001</v>
      </c>
      <c r="D45" s="243">
        <f>+C45/C46</f>
        <v>0.88244331780248353</v>
      </c>
      <c r="E45" s="243" t="s">
        <v>69</v>
      </c>
      <c r="F45" s="243">
        <f>((C45/(C44+C45)))</f>
        <v>0.88244331780248353</v>
      </c>
      <c r="G45" s="243" t="s">
        <v>70</v>
      </c>
      <c r="H45" s="244">
        <f>+E19</f>
        <v>0.14514914551934366</v>
      </c>
      <c r="I45" s="243" t="s">
        <v>152</v>
      </c>
      <c r="J45" s="244">
        <f>+H45*F45</f>
        <v>0.12808589354828512</v>
      </c>
    </row>
    <row r="46" spans="2:10" ht="20.25" x14ac:dyDescent="0.2">
      <c r="B46" s="245" t="s">
        <v>15</v>
      </c>
      <c r="C46" s="246">
        <f>SUM(C44:C45)</f>
        <v>20086528193.800003</v>
      </c>
      <c r="D46" s="193"/>
      <c r="E46" s="247"/>
      <c r="F46" s="213"/>
      <c r="G46" s="290" t="s">
        <v>133</v>
      </c>
      <c r="H46" s="290"/>
      <c r="I46" s="291"/>
      <c r="J46" s="248">
        <f>(F44*H44)+(F45*H45)</f>
        <v>0.13929671208090277</v>
      </c>
    </row>
    <row r="47" spans="2:10" ht="15" thickBot="1" x14ac:dyDescent="0.25">
      <c r="B47" s="223"/>
      <c r="C47" s="226"/>
      <c r="D47" s="226"/>
      <c r="E47" s="249"/>
      <c r="F47" s="226"/>
      <c r="G47" s="226"/>
      <c r="H47" s="249"/>
      <c r="I47" s="226"/>
      <c r="J47" s="250"/>
    </row>
    <row r="48" spans="2:10" x14ac:dyDescent="0.2">
      <c r="B48" s="251"/>
      <c r="E48" s="247"/>
      <c r="J48" s="208"/>
    </row>
    <row r="49" spans="2:10" x14ac:dyDescent="0.2">
      <c r="B49" s="292" t="s">
        <v>173</v>
      </c>
      <c r="C49" s="293"/>
      <c r="D49" s="252">
        <v>3.4099999999999998E-2</v>
      </c>
      <c r="E49" s="253" t="s">
        <v>67</v>
      </c>
      <c r="F49" s="289" t="s">
        <v>174</v>
      </c>
      <c r="G49" s="289"/>
      <c r="H49" s="289"/>
      <c r="I49" s="289"/>
      <c r="J49" s="254">
        <f>+(C44/(C44+C45))</f>
        <v>0.11755668219751639</v>
      </c>
    </row>
    <row r="50" spans="2:10" x14ac:dyDescent="0.2">
      <c r="B50" s="292" t="s">
        <v>175</v>
      </c>
      <c r="C50" s="293"/>
      <c r="D50" s="252">
        <f>+Kd!F16</f>
        <v>0.13623602459014447</v>
      </c>
      <c r="E50" s="255" t="s">
        <v>68</v>
      </c>
      <c r="F50" s="289" t="s">
        <v>176</v>
      </c>
      <c r="G50" s="289"/>
      <c r="H50" s="289"/>
      <c r="I50" s="289"/>
      <c r="J50" s="254">
        <f>+(D50*(1-C24))</f>
        <v>9.5365217213101122E-2</v>
      </c>
    </row>
    <row r="51" spans="2:10" x14ac:dyDescent="0.2">
      <c r="B51" s="251"/>
      <c r="D51" s="256"/>
      <c r="E51" s="253" t="s">
        <v>69</v>
      </c>
      <c r="F51" s="289" t="s">
        <v>177</v>
      </c>
      <c r="G51" s="289"/>
      <c r="H51" s="289"/>
      <c r="I51" s="289"/>
      <c r="J51" s="254">
        <f>+(C45/(C44+C45))</f>
        <v>0.88244331780248353</v>
      </c>
    </row>
    <row r="52" spans="2:10" x14ac:dyDescent="0.2">
      <c r="B52" s="251"/>
      <c r="D52" s="256"/>
      <c r="E52" s="255" t="s">
        <v>70</v>
      </c>
      <c r="F52" s="289" t="s">
        <v>178</v>
      </c>
      <c r="G52" s="289"/>
      <c r="H52" s="289"/>
      <c r="I52" s="289"/>
      <c r="J52" s="254">
        <f>+E19</f>
        <v>0.14514914551934366</v>
      </c>
    </row>
    <row r="53" spans="2:10" ht="21" thickBot="1" x14ac:dyDescent="0.25">
      <c r="B53" s="251"/>
      <c r="E53" s="247"/>
      <c r="H53" s="257" t="s">
        <v>133</v>
      </c>
      <c r="J53" s="258">
        <f>+(J49*J50)+(J51*J52)</f>
        <v>0.13929671208090277</v>
      </c>
    </row>
    <row r="54" spans="2:10" ht="15" thickBot="1" x14ac:dyDescent="0.25">
      <c r="B54" s="259"/>
      <c r="C54" s="227"/>
      <c r="D54" s="227"/>
      <c r="E54" s="260"/>
      <c r="F54" s="227"/>
      <c r="G54" s="227"/>
      <c r="H54" s="227"/>
      <c r="I54" s="227"/>
      <c r="J54" s="228"/>
    </row>
  </sheetData>
  <mergeCells count="25">
    <mergeCell ref="B11:D11"/>
    <mergeCell ref="B4:J4"/>
    <mergeCell ref="B7:D7"/>
    <mergeCell ref="B8:D8"/>
    <mergeCell ref="B9:D9"/>
    <mergeCell ref="B10:D10"/>
    <mergeCell ref="B41:J41"/>
    <mergeCell ref="B12:D12"/>
    <mergeCell ref="B13:D13"/>
    <mergeCell ref="B14:D14"/>
    <mergeCell ref="B15:D15"/>
    <mergeCell ref="B16:D16"/>
    <mergeCell ref="G16:H16"/>
    <mergeCell ref="B17:D17"/>
    <mergeCell ref="B18:D18"/>
    <mergeCell ref="B19:D19"/>
    <mergeCell ref="E25:F25"/>
    <mergeCell ref="C32:D32"/>
    <mergeCell ref="F52:I52"/>
    <mergeCell ref="G46:I46"/>
    <mergeCell ref="B49:C49"/>
    <mergeCell ref="F49:I49"/>
    <mergeCell ref="B50:C50"/>
    <mergeCell ref="F50:I50"/>
    <mergeCell ref="F51:I51"/>
  </mergeCells>
  <pageMargins left="0.7" right="0.7" top="0.75" bottom="0.75" header="0.3" footer="0.3"/>
  <pageSetup scale="4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B2:H41"/>
  <sheetViews>
    <sheetView showGridLines="0" zoomScaleNormal="100" zoomScaleSheetLayoutView="100" workbookViewId="0">
      <selection activeCell="C23" sqref="C23"/>
    </sheetView>
  </sheetViews>
  <sheetFormatPr baseColWidth="10" defaultColWidth="11.5703125" defaultRowHeight="12.75" x14ac:dyDescent="0.2"/>
  <cols>
    <col min="1" max="1" width="2.85546875" style="12" customWidth="1"/>
    <col min="2" max="2" width="29.140625" style="12" customWidth="1"/>
    <col min="3" max="3" width="17.28515625" style="11" bestFit="1" customWidth="1"/>
    <col min="4" max="4" width="14.42578125" style="12" customWidth="1"/>
    <col min="5" max="5" width="18.28515625" style="12" bestFit="1" customWidth="1"/>
    <col min="6" max="6" width="19.7109375" style="12" bestFit="1" customWidth="1"/>
    <col min="7" max="7" width="19.7109375" style="13" bestFit="1" customWidth="1"/>
    <col min="8" max="16384" width="11.5703125" style="12"/>
  </cols>
  <sheetData>
    <row r="2" spans="2:7" ht="22.5" x14ac:dyDescent="0.3">
      <c r="B2" s="128" t="s">
        <v>10</v>
      </c>
      <c r="C2" s="129"/>
      <c r="D2" s="130"/>
      <c r="E2" s="131"/>
      <c r="F2" s="131"/>
      <c r="G2" s="132"/>
    </row>
    <row r="3" spans="2:7" x14ac:dyDescent="0.2">
      <c r="B3" s="61" t="str">
        <f>Adjuntos!B2</f>
        <v>UNIVERSIDAD XXX</v>
      </c>
      <c r="C3" s="62"/>
      <c r="G3" s="63"/>
    </row>
    <row r="4" spans="2:7" x14ac:dyDescent="0.2">
      <c r="B4" s="61" t="str">
        <f>+Adjuntos!B4</f>
        <v>Nueva Carrera - Bachillerato en XXX</v>
      </c>
      <c r="C4" s="62"/>
      <c r="G4" s="63"/>
    </row>
    <row r="5" spans="2:7" x14ac:dyDescent="0.2">
      <c r="B5" s="61" t="s">
        <v>195</v>
      </c>
      <c r="C5" s="62"/>
      <c r="G5" s="63"/>
    </row>
    <row r="6" spans="2:7" x14ac:dyDescent="0.2">
      <c r="B6" s="61" t="s">
        <v>139</v>
      </c>
      <c r="C6" s="62"/>
      <c r="G6" s="63"/>
    </row>
    <row r="7" spans="2:7" x14ac:dyDescent="0.2">
      <c r="B7" s="133" t="s">
        <v>11</v>
      </c>
      <c r="C7" s="62"/>
      <c r="D7" s="134"/>
      <c r="G7" s="63"/>
    </row>
    <row r="8" spans="2:7" x14ac:dyDescent="0.2">
      <c r="B8" s="61"/>
      <c r="C8" s="62"/>
      <c r="G8" s="63"/>
    </row>
    <row r="9" spans="2:7" s="14" customFormat="1" x14ac:dyDescent="0.2">
      <c r="B9" s="262" t="s">
        <v>12</v>
      </c>
      <c r="C9" s="135" t="s">
        <v>50</v>
      </c>
      <c r="D9" s="136"/>
      <c r="E9" s="136" t="s">
        <v>13</v>
      </c>
      <c r="F9" s="136" t="s">
        <v>14</v>
      </c>
      <c r="G9" s="70" t="s">
        <v>15</v>
      </c>
    </row>
    <row r="10" spans="2:7" x14ac:dyDescent="0.2">
      <c r="B10" s="57" t="s">
        <v>45</v>
      </c>
      <c r="C10" s="58"/>
      <c r="D10" s="15"/>
      <c r="E10" s="59">
        <v>0.2</v>
      </c>
      <c r="F10" s="59">
        <v>0.8</v>
      </c>
      <c r="G10" s="60">
        <f>SUM(E10:F10)</f>
        <v>1</v>
      </c>
    </row>
    <row r="11" spans="2:7" x14ac:dyDescent="0.2">
      <c r="B11" s="61"/>
      <c r="C11" s="62"/>
      <c r="F11" s="137"/>
      <c r="G11" s="63"/>
    </row>
    <row r="12" spans="2:7" x14ac:dyDescent="0.2">
      <c r="B12" s="304" t="s">
        <v>52</v>
      </c>
      <c r="C12" s="305"/>
      <c r="D12" s="305"/>
      <c r="E12" s="305"/>
      <c r="F12" s="305"/>
      <c r="G12" s="306"/>
    </row>
    <row r="13" spans="2:7" x14ac:dyDescent="0.2">
      <c r="B13" s="61" t="s">
        <v>46</v>
      </c>
      <c r="C13" s="15" t="s">
        <v>48</v>
      </c>
      <c r="E13" s="64">
        <f>+'Tarifas Propuestas'!C8</f>
        <v>142217.67260219032</v>
      </c>
      <c r="F13" s="64">
        <f>+'Tarifas Propuestas'!C9</f>
        <v>188472.8053561369</v>
      </c>
      <c r="G13" s="265"/>
    </row>
    <row r="14" spans="2:7" x14ac:dyDescent="0.2">
      <c r="B14" s="61" t="s">
        <v>47</v>
      </c>
      <c r="C14" s="15" t="s">
        <v>39</v>
      </c>
      <c r="E14" s="270">
        <f>AVERAGE(Qn!C12:E12)</f>
        <v>30</v>
      </c>
      <c r="F14" s="270">
        <f>+E14</f>
        <v>30</v>
      </c>
      <c r="G14" s="271"/>
    </row>
    <row r="15" spans="2:7" x14ac:dyDescent="0.2">
      <c r="B15" s="61" t="s">
        <v>25</v>
      </c>
      <c r="C15" s="139" t="s">
        <v>29</v>
      </c>
      <c r="E15" s="263"/>
      <c r="F15" s="263">
        <f>+CAx!H12</f>
        <v>3</v>
      </c>
      <c r="G15" s="264"/>
    </row>
    <row r="16" spans="2:7" x14ac:dyDescent="0.2">
      <c r="B16" s="61" t="s">
        <v>49</v>
      </c>
      <c r="C16" s="15" t="s">
        <v>40</v>
      </c>
      <c r="E16" s="263"/>
      <c r="F16" s="263">
        <f>+PA!H12</f>
        <v>3</v>
      </c>
      <c r="G16" s="264"/>
    </row>
    <row r="17" spans="2:7" x14ac:dyDescent="0.2">
      <c r="B17" s="61" t="s">
        <v>186</v>
      </c>
      <c r="C17" s="15" t="s">
        <v>185</v>
      </c>
      <c r="E17" s="263">
        <f>+t!H12</f>
        <v>3</v>
      </c>
      <c r="F17" s="263"/>
      <c r="G17" s="264"/>
    </row>
    <row r="18" spans="2:7" x14ac:dyDescent="0.2">
      <c r="B18" s="61"/>
      <c r="C18" s="62"/>
      <c r="E18" s="266"/>
      <c r="F18" s="266"/>
      <c r="G18" s="267"/>
    </row>
    <row r="19" spans="2:7" s="15" customFormat="1" x14ac:dyDescent="0.2">
      <c r="B19" s="57" t="s">
        <v>12</v>
      </c>
      <c r="C19" s="58"/>
      <c r="E19" s="268">
        <f>+E13*E14*E17</f>
        <v>12799590.534197129</v>
      </c>
      <c r="F19" s="268">
        <f>+F13*F14*F15*F16</f>
        <v>50887657.446156956</v>
      </c>
      <c r="G19" s="269">
        <f>SUM(E19:F19)</f>
        <v>63687247.980354086</v>
      </c>
    </row>
    <row r="20" spans="2:7" x14ac:dyDescent="0.2">
      <c r="B20" s="61"/>
      <c r="C20" s="62"/>
      <c r="F20" s="67"/>
      <c r="G20" s="63"/>
    </row>
    <row r="21" spans="2:7" s="14" customFormat="1" x14ac:dyDescent="0.2">
      <c r="B21" s="68" t="s">
        <v>10</v>
      </c>
      <c r="C21" s="135" t="s">
        <v>51</v>
      </c>
      <c r="D21" s="136" t="s">
        <v>140</v>
      </c>
      <c r="E21" s="136" t="s">
        <v>13</v>
      </c>
      <c r="F21" s="136" t="s">
        <v>14</v>
      </c>
      <c r="G21" s="70" t="s">
        <v>15</v>
      </c>
    </row>
    <row r="22" spans="2:7" x14ac:dyDescent="0.2">
      <c r="B22" s="61" t="s">
        <v>10</v>
      </c>
      <c r="C22" s="64">
        <v>550269.91109870002</v>
      </c>
      <c r="D22" s="64">
        <f>+C22*SUM(Qn!C12:E12)</f>
        <v>49524291.998883002</v>
      </c>
      <c r="E22" s="108">
        <f>+D22*$E$10</f>
        <v>9904858.3997766003</v>
      </c>
      <c r="F22" s="108">
        <f>+D22*F10</f>
        <v>39619433.599106401</v>
      </c>
      <c r="G22" s="109">
        <f>SUM(E22:F22)</f>
        <v>49524291.998883002</v>
      </c>
    </row>
    <row r="23" spans="2:7" x14ac:dyDescent="0.2">
      <c r="B23" s="71" t="s">
        <v>16</v>
      </c>
      <c r="C23" s="274">
        <f>SUM(C22:C22)</f>
        <v>550269.91109870002</v>
      </c>
      <c r="D23" s="140"/>
      <c r="E23" s="141">
        <f>SUM(E22:E22)</f>
        <v>9904858.3997766003</v>
      </c>
      <c r="F23" s="141">
        <f>SUM(F22:F22)</f>
        <v>39619433.599106401</v>
      </c>
      <c r="G23" s="142">
        <f>SUM(G22:G22)</f>
        <v>49524291.998883002</v>
      </c>
    </row>
    <row r="24" spans="2:7" x14ac:dyDescent="0.2">
      <c r="B24" s="61"/>
      <c r="C24" s="143"/>
      <c r="D24" s="144"/>
      <c r="E24" s="144"/>
      <c r="F24" s="144"/>
      <c r="G24" s="109"/>
    </row>
    <row r="25" spans="2:7" x14ac:dyDescent="0.2">
      <c r="B25" s="61"/>
      <c r="C25" s="143"/>
      <c r="D25" s="144"/>
      <c r="E25" s="144"/>
      <c r="F25" s="144"/>
      <c r="G25" s="109"/>
    </row>
    <row r="26" spans="2:7" x14ac:dyDescent="0.2">
      <c r="B26" s="61" t="s">
        <v>17</v>
      </c>
      <c r="C26" s="143"/>
      <c r="D26" s="144"/>
      <c r="E26" s="144">
        <f>+GFA!E22</f>
        <v>659091.17340420024</v>
      </c>
      <c r="F26" s="144">
        <f>+GFA!F22</f>
        <v>2379929.249434961</v>
      </c>
      <c r="G26" s="145">
        <f>+E26+F26</f>
        <v>3039020.422839161</v>
      </c>
    </row>
    <row r="27" spans="2:7" ht="13.5" thickBot="1" x14ac:dyDescent="0.25">
      <c r="B27" s="57" t="s">
        <v>18</v>
      </c>
      <c r="C27" s="146"/>
      <c r="D27" s="147"/>
      <c r="E27" s="100">
        <f>+E19-E23-E26</f>
        <v>2235640.961016329</v>
      </c>
      <c r="F27" s="100">
        <f>+F19-F23-F26</f>
        <v>8888294.597615594</v>
      </c>
      <c r="G27" s="148">
        <f>+G19-G23-G26</f>
        <v>11123935.558631923</v>
      </c>
    </row>
    <row r="28" spans="2:7" x14ac:dyDescent="0.2">
      <c r="B28" s="61" t="s">
        <v>19</v>
      </c>
      <c r="C28" s="143"/>
      <c r="D28" s="144"/>
      <c r="E28" s="149">
        <v>0.3</v>
      </c>
      <c r="F28" s="149">
        <v>0.3</v>
      </c>
      <c r="G28" s="150">
        <v>0.3</v>
      </c>
    </row>
    <row r="29" spans="2:7" ht="13.5" thickBot="1" x14ac:dyDescent="0.25">
      <c r="B29" s="61" t="s">
        <v>20</v>
      </c>
      <c r="C29" s="143"/>
      <c r="D29" s="144"/>
      <c r="E29" s="101">
        <f>+E27*E28</f>
        <v>670692.28830489866</v>
      </c>
      <c r="F29" s="101">
        <f>+F27*F28</f>
        <v>2666488.379284678</v>
      </c>
      <c r="G29" s="112">
        <f>+G27*G28</f>
        <v>3337180.6675895769</v>
      </c>
    </row>
    <row r="30" spans="2:7" ht="13.5" thickBot="1" x14ac:dyDescent="0.25">
      <c r="B30" s="57" t="s">
        <v>21</v>
      </c>
      <c r="C30" s="146"/>
      <c r="D30" s="147"/>
      <c r="E30" s="102">
        <f>+E27-E29</f>
        <v>1564948.6727114304</v>
      </c>
      <c r="F30" s="102">
        <f>+F27-F29</f>
        <v>6221806.218330916</v>
      </c>
      <c r="G30" s="151">
        <f>+G27-G29</f>
        <v>7786754.8910423461</v>
      </c>
    </row>
    <row r="31" spans="2:7" ht="13.5" thickTop="1" x14ac:dyDescent="0.2">
      <c r="B31" s="61"/>
      <c r="C31" s="62"/>
      <c r="E31" s="152">
        <f>+E30-GFA!E29</f>
        <v>0</v>
      </c>
      <c r="F31" s="152">
        <f>+F30-GFA!F29</f>
        <v>0</v>
      </c>
      <c r="G31" s="73">
        <f>+G30-GFA!G29</f>
        <v>0</v>
      </c>
    </row>
    <row r="32" spans="2:7" x14ac:dyDescent="0.2">
      <c r="B32" s="313" t="s">
        <v>141</v>
      </c>
      <c r="C32" s="314"/>
      <c r="D32" s="313" t="s">
        <v>142</v>
      </c>
      <c r="E32" s="314"/>
      <c r="F32" s="313" t="s">
        <v>143</v>
      </c>
      <c r="G32" s="314"/>
    </row>
    <row r="33" spans="2:8" x14ac:dyDescent="0.2">
      <c r="B33" s="120">
        <f>+E22+E26+E29</f>
        <v>11234641.861485699</v>
      </c>
      <c r="C33" s="121">
        <f>+E30</f>
        <v>1564948.6727114304</v>
      </c>
      <c r="D33" s="120">
        <f>+F22+F26+F29</f>
        <v>44665851.227826044</v>
      </c>
      <c r="E33" s="121">
        <f>+F30</f>
        <v>6221806.218330916</v>
      </c>
      <c r="F33" s="120">
        <f>+G22+G26+G29</f>
        <v>55900493.089311734</v>
      </c>
      <c r="G33" s="121">
        <f>+G30</f>
        <v>7786754.8910423461</v>
      </c>
    </row>
    <row r="34" spans="2:8" x14ac:dyDescent="0.2">
      <c r="B34" s="315">
        <f>+C33/B33</f>
        <v>0.13929671208090272</v>
      </c>
      <c r="C34" s="316"/>
      <c r="D34" s="315">
        <f>+E33/D33</f>
        <v>0.13929671208090263</v>
      </c>
      <c r="E34" s="316"/>
      <c r="F34" s="315">
        <f>+G33/F33</f>
        <v>0.13929671208090266</v>
      </c>
      <c r="G34" s="316"/>
    </row>
    <row r="35" spans="2:8" x14ac:dyDescent="0.2">
      <c r="B35" s="61"/>
      <c r="C35" s="62"/>
      <c r="E35" s="24"/>
      <c r="F35" s="24"/>
      <c r="G35" s="153"/>
    </row>
    <row r="36" spans="2:8" x14ac:dyDescent="0.2">
      <c r="B36" s="304" t="s">
        <v>71</v>
      </c>
      <c r="C36" s="305"/>
      <c r="D36" s="305"/>
      <c r="E36" s="305"/>
      <c r="F36" s="305"/>
      <c r="G36" s="306"/>
    </row>
    <row r="37" spans="2:8" s="2" customFormat="1" ht="16.5" thickBot="1" x14ac:dyDescent="0.3">
      <c r="C37" s="74"/>
      <c r="D37" s="273" t="s">
        <v>22</v>
      </c>
      <c r="E37" s="16">
        <f>+'CAPM-WACC'!J46</f>
        <v>0.13929671208090277</v>
      </c>
      <c r="F37" s="16">
        <f>+E37</f>
        <v>0.13929671208090277</v>
      </c>
      <c r="G37" s="75">
        <f>+F37</f>
        <v>0.13929671208090277</v>
      </c>
    </row>
    <row r="38" spans="2:8" ht="13.5" thickBot="1" x14ac:dyDescent="0.25">
      <c r="B38" s="61"/>
      <c r="C38" s="62"/>
      <c r="E38" s="24"/>
      <c r="F38" s="24"/>
      <c r="G38" s="153"/>
      <c r="H38" s="24"/>
    </row>
    <row r="39" spans="2:8" x14ac:dyDescent="0.2">
      <c r="B39" s="307" t="s">
        <v>154</v>
      </c>
      <c r="C39" s="308"/>
      <c r="D39" s="308"/>
      <c r="E39" s="308"/>
      <c r="F39" s="308"/>
      <c r="G39" s="309"/>
    </row>
    <row r="40" spans="2:8" ht="13.5" thickBot="1" x14ac:dyDescent="0.25">
      <c r="B40" s="310"/>
      <c r="C40" s="311"/>
      <c r="D40" s="311"/>
      <c r="E40" s="311"/>
      <c r="F40" s="311"/>
      <c r="G40" s="312"/>
    </row>
    <row r="41" spans="2:8" x14ac:dyDescent="0.2">
      <c r="B41" s="76"/>
      <c r="C41" s="77"/>
      <c r="D41" s="78"/>
      <c r="E41" s="78"/>
      <c r="F41" s="78"/>
      <c r="G41" s="123"/>
    </row>
  </sheetData>
  <mergeCells count="9">
    <mergeCell ref="B36:G36"/>
    <mergeCell ref="B39:G40"/>
    <mergeCell ref="B12:G12"/>
    <mergeCell ref="B32:C32"/>
    <mergeCell ref="D32:E32"/>
    <mergeCell ref="F32:G32"/>
    <mergeCell ref="B34:C34"/>
    <mergeCell ref="D34:E34"/>
    <mergeCell ref="F34:G34"/>
  </mergeCells>
  <printOptions horizontalCentered="1"/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fitToPage="1"/>
  </sheetPr>
  <dimension ref="B2:G41"/>
  <sheetViews>
    <sheetView showGridLines="0" zoomScaleNormal="100" zoomScaleSheetLayoutView="80" workbookViewId="0">
      <selection activeCell="B34" sqref="B34:C34"/>
    </sheetView>
  </sheetViews>
  <sheetFormatPr baseColWidth="10" defaultColWidth="11.5703125" defaultRowHeight="12.75" x14ac:dyDescent="0.2"/>
  <cols>
    <col min="1" max="1" width="2.85546875" style="12" customWidth="1"/>
    <col min="2" max="2" width="38.28515625" style="12" customWidth="1"/>
    <col min="3" max="3" width="18.140625" style="11" customWidth="1"/>
    <col min="4" max="4" width="14.85546875" style="12" bestFit="1" customWidth="1"/>
    <col min="5" max="5" width="18.7109375" style="12" bestFit="1" customWidth="1"/>
    <col min="6" max="6" width="16.140625" style="12" bestFit="1" customWidth="1"/>
    <col min="7" max="7" width="16.140625" style="13" bestFit="1" customWidth="1"/>
    <col min="8" max="16384" width="11.5703125" style="12"/>
  </cols>
  <sheetData>
    <row r="2" spans="2:7" ht="22.5" x14ac:dyDescent="0.3">
      <c r="B2" s="128" t="s">
        <v>23</v>
      </c>
      <c r="C2" s="129"/>
      <c r="D2" s="130"/>
      <c r="E2" s="131"/>
      <c r="F2" s="131"/>
      <c r="G2" s="132"/>
    </row>
    <row r="3" spans="2:7" x14ac:dyDescent="0.2">
      <c r="B3" s="61" t="str">
        <f>Adjuntos!B2</f>
        <v>UNIVERSIDAD XXX</v>
      </c>
      <c r="C3" s="62"/>
      <c r="G3" s="63"/>
    </row>
    <row r="4" spans="2:7" x14ac:dyDescent="0.2">
      <c r="B4" s="61" t="str">
        <f>Adjuntos!B4</f>
        <v>Nueva Carrera - Bachillerato en XXX</v>
      </c>
      <c r="C4" s="62"/>
      <c r="G4" s="63"/>
    </row>
    <row r="5" spans="2:7" x14ac:dyDescent="0.2">
      <c r="B5" s="61" t="str">
        <f>+GOA!B5</f>
        <v>Estado de Resultados - Carrera XXX</v>
      </c>
      <c r="C5" s="62"/>
      <c r="G5" s="63"/>
    </row>
    <row r="6" spans="2:7" x14ac:dyDescent="0.2">
      <c r="B6" s="61" t="s">
        <v>139</v>
      </c>
      <c r="C6" s="62"/>
      <c r="G6" s="63"/>
    </row>
    <row r="7" spans="2:7" x14ac:dyDescent="0.2">
      <c r="B7" s="133" t="s">
        <v>11</v>
      </c>
      <c r="C7" s="62"/>
      <c r="D7" s="134"/>
      <c r="G7" s="63"/>
    </row>
    <row r="8" spans="2:7" x14ac:dyDescent="0.2">
      <c r="B8" s="61"/>
      <c r="C8" s="62"/>
      <c r="G8" s="63"/>
    </row>
    <row r="9" spans="2:7" s="14" customFormat="1" x14ac:dyDescent="0.2">
      <c r="B9" s="53" t="s">
        <v>12</v>
      </c>
      <c r="C9" s="54"/>
      <c r="D9" s="55"/>
      <c r="E9" s="55" t="s">
        <v>13</v>
      </c>
      <c r="F9" s="55" t="s">
        <v>14</v>
      </c>
      <c r="G9" s="56" t="s">
        <v>15</v>
      </c>
    </row>
    <row r="10" spans="2:7" x14ac:dyDescent="0.2">
      <c r="B10" s="57" t="s">
        <v>45</v>
      </c>
      <c r="C10" s="58"/>
      <c r="D10" s="15"/>
      <c r="E10" s="59">
        <v>0.21687619091037688</v>
      </c>
      <c r="F10" s="59">
        <v>0.78312380908962309</v>
      </c>
      <c r="G10" s="60">
        <f>SUM(E10:F10)</f>
        <v>1</v>
      </c>
    </row>
    <row r="11" spans="2:7" x14ac:dyDescent="0.2">
      <c r="B11" s="61"/>
      <c r="C11" s="62"/>
      <c r="G11" s="63"/>
    </row>
    <row r="12" spans="2:7" x14ac:dyDescent="0.2">
      <c r="B12" s="61" t="s">
        <v>46</v>
      </c>
      <c r="C12" s="15" t="s">
        <v>48</v>
      </c>
      <c r="E12" s="64">
        <f>+GOA!E13</f>
        <v>142217.67260219032</v>
      </c>
      <c r="F12" s="64">
        <f>+GOA!F13</f>
        <v>188472.8053561369</v>
      </c>
      <c r="G12" s="65"/>
    </row>
    <row r="13" spans="2:7" x14ac:dyDescent="0.2">
      <c r="B13" s="61" t="s">
        <v>47</v>
      </c>
      <c r="C13" s="15" t="s">
        <v>39</v>
      </c>
      <c r="E13" s="138">
        <f>+Qn!F12</f>
        <v>30</v>
      </c>
      <c r="F13" s="138">
        <f>+E13</f>
        <v>30</v>
      </c>
      <c r="G13" s="66"/>
    </row>
    <row r="14" spans="2:7" x14ac:dyDescent="0.2">
      <c r="B14" s="61" t="s">
        <v>25</v>
      </c>
      <c r="C14" s="139" t="s">
        <v>29</v>
      </c>
      <c r="E14" s="67"/>
      <c r="F14" s="275">
        <f>+CAx!H12</f>
        <v>3</v>
      </c>
      <c r="G14" s="63"/>
    </row>
    <row r="15" spans="2:7" x14ac:dyDescent="0.2">
      <c r="B15" s="61" t="s">
        <v>49</v>
      </c>
      <c r="C15" s="15" t="s">
        <v>40</v>
      </c>
      <c r="E15" s="138"/>
      <c r="F15" s="138">
        <f>+PA!H12</f>
        <v>3</v>
      </c>
      <c r="G15" s="66"/>
    </row>
    <row r="16" spans="2:7" x14ac:dyDescent="0.2">
      <c r="B16" s="61" t="s">
        <v>186</v>
      </c>
      <c r="C16" s="15" t="s">
        <v>185</v>
      </c>
      <c r="E16" s="263">
        <f>+t!H12</f>
        <v>3</v>
      </c>
      <c r="F16" s="263"/>
      <c r="G16" s="66"/>
    </row>
    <row r="17" spans="2:7" x14ac:dyDescent="0.2">
      <c r="B17" s="61"/>
      <c r="C17" s="62"/>
      <c r="G17" s="63"/>
    </row>
    <row r="18" spans="2:7" s="15" customFormat="1" x14ac:dyDescent="0.2">
      <c r="B18" s="57" t="s">
        <v>12</v>
      </c>
      <c r="C18" s="58"/>
      <c r="E18" s="115">
        <f>+E12*E13*E16</f>
        <v>12799590.534197129</v>
      </c>
      <c r="F18" s="115">
        <f>+F12*F13*F14*F15</f>
        <v>50887657.446156956</v>
      </c>
      <c r="G18" s="116">
        <f>SUM(E18:F18)</f>
        <v>63687247.980354086</v>
      </c>
    </row>
    <row r="19" spans="2:7" x14ac:dyDescent="0.2">
      <c r="B19" s="61"/>
      <c r="C19" s="62"/>
      <c r="G19" s="63"/>
    </row>
    <row r="20" spans="2:7" s="14" customFormat="1" x14ac:dyDescent="0.2">
      <c r="B20" s="68"/>
      <c r="C20" s="69" t="s">
        <v>53</v>
      </c>
      <c r="D20" s="136" t="s">
        <v>140</v>
      </c>
      <c r="E20" s="136" t="s">
        <v>13</v>
      </c>
      <c r="F20" s="136" t="s">
        <v>14</v>
      </c>
      <c r="G20" s="70" t="s">
        <v>15</v>
      </c>
    </row>
    <row r="21" spans="2:7" x14ac:dyDescent="0.2">
      <c r="B21" s="61" t="s">
        <v>23</v>
      </c>
      <c r="C21" s="103">
        <v>33766.893587101797</v>
      </c>
      <c r="D21" s="103">
        <f>+C21*SUM(Qn!C12:E12)</f>
        <v>3039020.4228391615</v>
      </c>
      <c r="E21" s="127">
        <f>+D21*$E$10</f>
        <v>659091.17340420024</v>
      </c>
      <c r="F21" s="103">
        <f>+D21*$F$10</f>
        <v>2379929.249434961</v>
      </c>
      <c r="G21" s="104">
        <f>+E21+F21</f>
        <v>3039020.422839161</v>
      </c>
    </row>
    <row r="22" spans="2:7" x14ac:dyDescent="0.2">
      <c r="B22" s="71" t="s">
        <v>17</v>
      </c>
      <c r="C22" s="105">
        <f>SUM(C21:C21)</f>
        <v>33766.893587101797</v>
      </c>
      <c r="D22" s="154"/>
      <c r="E22" s="106">
        <f>SUM(E21:E21)</f>
        <v>659091.17340420024</v>
      </c>
      <c r="F22" s="106">
        <f>SUM(F21:F21)</f>
        <v>2379929.249434961</v>
      </c>
      <c r="G22" s="107">
        <f>SUM(G21:G21)</f>
        <v>3039020.422839161</v>
      </c>
    </row>
    <row r="23" spans="2:7" x14ac:dyDescent="0.2">
      <c r="B23" s="61"/>
      <c r="C23" s="62"/>
      <c r="G23" s="63"/>
    </row>
    <row r="24" spans="2:7" x14ac:dyDescent="0.2">
      <c r="B24" s="61"/>
      <c r="C24" s="62"/>
      <c r="G24" s="63"/>
    </row>
    <row r="25" spans="2:7" x14ac:dyDescent="0.2">
      <c r="B25" s="61" t="s">
        <v>24</v>
      </c>
      <c r="C25" s="62"/>
      <c r="E25" s="108">
        <f>+GOA!E23</f>
        <v>9904858.3997766003</v>
      </c>
      <c r="F25" s="108">
        <f>+GOA!F23</f>
        <v>39619433.599106401</v>
      </c>
      <c r="G25" s="109">
        <f>+GOA!G23</f>
        <v>49524291.998883002</v>
      </c>
    </row>
    <row r="26" spans="2:7" ht="13.5" thickBot="1" x14ac:dyDescent="0.25">
      <c r="B26" s="57" t="s">
        <v>18</v>
      </c>
      <c r="C26" s="58"/>
      <c r="D26" s="15"/>
      <c r="E26" s="110">
        <f>+E18-E22-E25</f>
        <v>2235640.961016329</v>
      </c>
      <c r="F26" s="110">
        <f>+F18-F22-F25</f>
        <v>8888294.5976155922</v>
      </c>
      <c r="G26" s="111">
        <f>+G18-G22-G25</f>
        <v>11123935.558631919</v>
      </c>
    </row>
    <row r="27" spans="2:7" x14ac:dyDescent="0.2">
      <c r="B27" s="61" t="s">
        <v>19</v>
      </c>
      <c r="C27" s="62"/>
      <c r="E27" s="155">
        <v>0.3</v>
      </c>
      <c r="F27" s="155">
        <v>0.3</v>
      </c>
      <c r="G27" s="72">
        <v>0.3</v>
      </c>
    </row>
    <row r="28" spans="2:7" ht="13.5" thickBot="1" x14ac:dyDescent="0.25">
      <c r="B28" s="61" t="s">
        <v>20</v>
      </c>
      <c r="C28" s="62"/>
      <c r="E28" s="101">
        <f>+E26*E27</f>
        <v>670692.28830489866</v>
      </c>
      <c r="F28" s="101">
        <f>+F26*F27</f>
        <v>2666488.3792846776</v>
      </c>
      <c r="G28" s="112">
        <f>+G26*G27</f>
        <v>3337180.6675895755</v>
      </c>
    </row>
    <row r="29" spans="2:7" ht="13.5" thickBot="1" x14ac:dyDescent="0.25">
      <c r="B29" s="57" t="s">
        <v>21</v>
      </c>
      <c r="C29" s="58"/>
      <c r="D29" s="15"/>
      <c r="E29" s="113">
        <f>+E26-E28</f>
        <v>1564948.6727114304</v>
      </c>
      <c r="F29" s="113">
        <f>+F26-F28</f>
        <v>6221806.2183309142</v>
      </c>
      <c r="G29" s="114">
        <f>+G26-G28</f>
        <v>7786754.8910423443</v>
      </c>
    </row>
    <row r="30" spans="2:7" ht="13.5" thickTop="1" x14ac:dyDescent="0.2">
      <c r="B30" s="61"/>
      <c r="C30" s="62"/>
      <c r="E30" s="152">
        <f>+E29-GFA!E29</f>
        <v>0</v>
      </c>
      <c r="F30" s="152">
        <f>+F29-GFA!F29</f>
        <v>0</v>
      </c>
      <c r="G30" s="73">
        <f>+G29-GFA!G29</f>
        <v>0</v>
      </c>
    </row>
    <row r="31" spans="2:7" x14ac:dyDescent="0.2">
      <c r="B31" s="61"/>
      <c r="C31" s="62"/>
      <c r="E31" s="152"/>
      <c r="F31" s="152"/>
      <c r="G31" s="73"/>
    </row>
    <row r="32" spans="2:7" x14ac:dyDescent="0.2">
      <c r="B32" s="313" t="s">
        <v>141</v>
      </c>
      <c r="C32" s="314"/>
      <c r="D32" s="313" t="s">
        <v>142</v>
      </c>
      <c r="E32" s="314"/>
      <c r="F32" s="313" t="s">
        <v>143</v>
      </c>
      <c r="G32" s="314"/>
    </row>
    <row r="33" spans="2:7" x14ac:dyDescent="0.2">
      <c r="B33" s="120">
        <f>+E21+E25+E28</f>
        <v>11234641.861485699</v>
      </c>
      <c r="C33" s="121">
        <f>+E29</f>
        <v>1564948.6727114304</v>
      </c>
      <c r="D33" s="120">
        <f>+F21+F25+F28</f>
        <v>44665851.227826044</v>
      </c>
      <c r="E33" s="121">
        <f>+F29</f>
        <v>6221806.2183309142</v>
      </c>
      <c r="F33" s="120">
        <f>+G21+G25+G28</f>
        <v>55900493.089311734</v>
      </c>
      <c r="G33" s="121">
        <f>+G29</f>
        <v>7786754.8910423443</v>
      </c>
    </row>
    <row r="34" spans="2:7" x14ac:dyDescent="0.2">
      <c r="B34" s="315">
        <f>+C33/B33</f>
        <v>0.13929671208090272</v>
      </c>
      <c r="C34" s="316"/>
      <c r="D34" s="315">
        <f>+E33/D33</f>
        <v>0.13929671208090261</v>
      </c>
      <c r="E34" s="316"/>
      <c r="F34" s="315">
        <f>+G33/F33</f>
        <v>0.13929671208090263</v>
      </c>
      <c r="G34" s="316"/>
    </row>
    <row r="35" spans="2:7" x14ac:dyDescent="0.2">
      <c r="B35" s="61"/>
      <c r="C35" s="62"/>
      <c r="G35" s="63"/>
    </row>
    <row r="36" spans="2:7" x14ac:dyDescent="0.2">
      <c r="B36" s="304" t="s">
        <v>71</v>
      </c>
      <c r="C36" s="305"/>
      <c r="D36" s="305"/>
      <c r="E36" s="305"/>
      <c r="F36" s="305"/>
      <c r="G36" s="306"/>
    </row>
    <row r="37" spans="2:7" s="2" customFormat="1" ht="16.5" thickBot="1" x14ac:dyDescent="0.3">
      <c r="C37" s="74"/>
      <c r="D37" s="272" t="s">
        <v>22</v>
      </c>
      <c r="E37" s="16">
        <f>+'CAPM-WACC'!J46</f>
        <v>0.13929671208090277</v>
      </c>
      <c r="F37" s="16">
        <f>+GOA!F37</f>
        <v>0.13929671208090277</v>
      </c>
      <c r="G37" s="75">
        <f>+GOA!G37</f>
        <v>0.13929671208090277</v>
      </c>
    </row>
    <row r="38" spans="2:7" x14ac:dyDescent="0.2">
      <c r="B38" s="76"/>
      <c r="C38" s="77"/>
      <c r="D38" s="78"/>
      <c r="E38" s="122">
        <f>+E37-GOA!E37</f>
        <v>0</v>
      </c>
      <c r="F38" s="122">
        <f>+F37-GOA!F37</f>
        <v>0</v>
      </c>
      <c r="G38" s="123">
        <f>+G37-GOA!G37</f>
        <v>0</v>
      </c>
    </row>
    <row r="39" spans="2:7" ht="13.5" thickBot="1" x14ac:dyDescent="0.25">
      <c r="B39" s="61"/>
      <c r="C39" s="62"/>
      <c r="G39" s="63"/>
    </row>
    <row r="40" spans="2:7" x14ac:dyDescent="0.2">
      <c r="B40" s="307" t="s">
        <v>154</v>
      </c>
      <c r="C40" s="308"/>
      <c r="D40" s="308"/>
      <c r="E40" s="308"/>
      <c r="F40" s="308"/>
      <c r="G40" s="309"/>
    </row>
    <row r="41" spans="2:7" x14ac:dyDescent="0.2">
      <c r="B41" s="317"/>
      <c r="C41" s="318"/>
      <c r="D41" s="318"/>
      <c r="E41" s="318"/>
      <c r="F41" s="318"/>
      <c r="G41" s="319"/>
    </row>
  </sheetData>
  <mergeCells count="8">
    <mergeCell ref="B36:G36"/>
    <mergeCell ref="B40:G41"/>
    <mergeCell ref="F32:G32"/>
    <mergeCell ref="F34:G34"/>
    <mergeCell ref="B32:C32"/>
    <mergeCell ref="D32:E32"/>
    <mergeCell ref="B34:C34"/>
    <mergeCell ref="D34:E34"/>
  </mergeCells>
  <printOptions horizontalCentered="1"/>
  <pageMargins left="0.7" right="0.7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B2:I17"/>
  <sheetViews>
    <sheetView showGridLines="0" zoomScaleNormal="100" workbookViewId="0">
      <selection activeCell="E12" sqref="E12"/>
    </sheetView>
  </sheetViews>
  <sheetFormatPr baseColWidth="10" defaultColWidth="11.5703125" defaultRowHeight="15" x14ac:dyDescent="0.25"/>
  <cols>
    <col min="1" max="1" width="2.85546875" style="1" customWidth="1"/>
    <col min="2" max="2" width="34.85546875" style="1" customWidth="1"/>
    <col min="3" max="5" width="10.5703125" style="1" customWidth="1"/>
    <col min="6" max="6" width="14.7109375" style="17" bestFit="1" customWidth="1"/>
    <col min="7" max="16384" width="11.5703125" style="1"/>
  </cols>
  <sheetData>
    <row r="2" spans="2:9" s="12" customFormat="1" ht="22.5" x14ac:dyDescent="0.3">
      <c r="B2" s="128" t="s">
        <v>158</v>
      </c>
      <c r="C2" s="129"/>
      <c r="D2" s="130"/>
      <c r="E2" s="131"/>
      <c r="F2" s="156"/>
      <c r="H2"/>
      <c r="I2" s="1"/>
    </row>
    <row r="3" spans="2:9" s="12" customFormat="1" x14ac:dyDescent="0.25">
      <c r="B3" s="61" t="str">
        <f>Adjuntos!B2</f>
        <v>UNIVERSIDAD XXX</v>
      </c>
      <c r="C3" s="62"/>
      <c r="F3" s="157"/>
      <c r="G3" s="13"/>
      <c r="I3" s="1"/>
    </row>
    <row r="4" spans="2:9" s="12" customFormat="1" ht="15" customHeight="1" x14ac:dyDescent="0.25">
      <c r="B4" s="326" t="str">
        <f>Adjuntos!B4</f>
        <v>Nueva Carrera - Bachillerato en XXX</v>
      </c>
      <c r="C4" s="327"/>
      <c r="D4" s="327"/>
      <c r="E4" s="327"/>
      <c r="F4" s="328"/>
      <c r="G4" s="13"/>
      <c r="I4" s="1"/>
    </row>
    <row r="5" spans="2:9" s="12" customFormat="1" ht="3.6" customHeight="1" x14ac:dyDescent="0.25">
      <c r="B5" s="158"/>
      <c r="C5" s="159"/>
      <c r="D5" s="159"/>
      <c r="E5" s="159"/>
      <c r="F5" s="160"/>
      <c r="G5" s="13"/>
      <c r="I5" s="1"/>
    </row>
    <row r="6" spans="2:9" s="12" customFormat="1" x14ac:dyDescent="0.25">
      <c r="B6" s="37" t="s">
        <v>217</v>
      </c>
      <c r="F6" s="157"/>
      <c r="G6" s="13"/>
      <c r="I6" s="1"/>
    </row>
    <row r="7" spans="2:9" x14ac:dyDescent="0.25">
      <c r="B7" s="37"/>
      <c r="F7" s="161"/>
    </row>
    <row r="8" spans="2:9" ht="14.45" customHeight="1" x14ac:dyDescent="0.25">
      <c r="B8" s="320" t="s">
        <v>44</v>
      </c>
      <c r="C8" s="321"/>
      <c r="D8" s="321"/>
      <c r="E8" s="321"/>
      <c r="F8" s="322"/>
    </row>
    <row r="9" spans="2:9" x14ac:dyDescent="0.25">
      <c r="B9" s="323"/>
      <c r="C9" s="324"/>
      <c r="D9" s="324"/>
      <c r="E9" s="324"/>
      <c r="F9" s="325"/>
    </row>
    <row r="10" spans="2:9" ht="7.5" customHeight="1" x14ac:dyDescent="0.25">
      <c r="B10" s="162"/>
      <c r="C10" s="163"/>
      <c r="D10" s="163"/>
      <c r="E10" s="163"/>
      <c r="F10" s="164"/>
    </row>
    <row r="11" spans="2:9" ht="13.9" customHeight="1" x14ac:dyDescent="0.25">
      <c r="B11" s="79" t="s">
        <v>144</v>
      </c>
      <c r="C11" s="80" t="s">
        <v>218</v>
      </c>
      <c r="D11" s="80" t="s">
        <v>219</v>
      </c>
      <c r="E11" s="80" t="s">
        <v>220</v>
      </c>
      <c r="F11" s="81" t="s">
        <v>149</v>
      </c>
    </row>
    <row r="12" spans="2:9" x14ac:dyDescent="0.25">
      <c r="B12" s="45" t="s">
        <v>148</v>
      </c>
      <c r="C12" s="124">
        <v>30</v>
      </c>
      <c r="D12" s="124">
        <v>30</v>
      </c>
      <c r="E12" s="124">
        <v>30</v>
      </c>
      <c r="F12" s="82">
        <f>AVERAGE(C12:E12)</f>
        <v>30</v>
      </c>
    </row>
    <row r="13" spans="2:9" ht="7.5" customHeight="1" x14ac:dyDescent="0.25">
      <c r="B13" s="37"/>
      <c r="F13" s="165"/>
    </row>
    <row r="14" spans="2:9" x14ac:dyDescent="0.25">
      <c r="B14" s="83" t="s">
        <v>15</v>
      </c>
      <c r="C14" s="84">
        <f>SUM(C12:C13)</f>
        <v>30</v>
      </c>
      <c r="D14" s="84">
        <f>SUM(D12:D13)</f>
        <v>30</v>
      </c>
      <c r="E14" s="84">
        <f>SUM(E12:E13)</f>
        <v>30</v>
      </c>
      <c r="F14" s="85">
        <f>SUM(F12:F13)</f>
        <v>30</v>
      </c>
    </row>
    <row r="15" spans="2:9" ht="15.75" thickBot="1" x14ac:dyDescent="0.3">
      <c r="B15" s="37"/>
      <c r="F15" s="161"/>
    </row>
    <row r="16" spans="2:9" ht="13.9" customHeight="1" x14ac:dyDescent="0.25">
      <c r="B16" s="307" t="s">
        <v>159</v>
      </c>
      <c r="C16" s="308"/>
      <c r="D16" s="308"/>
      <c r="E16" s="308"/>
      <c r="F16" s="309"/>
    </row>
    <row r="17" spans="2:6" ht="14.45" customHeight="1" x14ac:dyDescent="0.25">
      <c r="B17" s="317"/>
      <c r="C17" s="318"/>
      <c r="D17" s="318"/>
      <c r="E17" s="318"/>
      <c r="F17" s="319"/>
    </row>
  </sheetData>
  <mergeCells count="3">
    <mergeCell ref="B8:F9"/>
    <mergeCell ref="B16:F17"/>
    <mergeCell ref="B4:F4"/>
  </mergeCells>
  <printOptions horizontalCentered="1"/>
  <pageMargins left="0.7" right="0.7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  <pageSetUpPr fitToPage="1"/>
  </sheetPr>
  <dimension ref="B2:H16"/>
  <sheetViews>
    <sheetView showGridLines="0" zoomScaleNormal="100" workbookViewId="0">
      <selection activeCell="B6" sqref="B6"/>
    </sheetView>
  </sheetViews>
  <sheetFormatPr baseColWidth="10" defaultColWidth="11.5703125" defaultRowHeight="15" x14ac:dyDescent="0.25"/>
  <cols>
    <col min="1" max="1" width="2.85546875" style="1" customWidth="1"/>
    <col min="2" max="2" width="28.42578125" style="1" customWidth="1"/>
    <col min="3" max="3" width="10.28515625" style="1" customWidth="1"/>
    <col min="4" max="4" width="11.5703125" style="1"/>
    <col min="5" max="7" width="11.42578125" style="1" customWidth="1"/>
    <col min="8" max="16384" width="11.5703125" style="1"/>
  </cols>
  <sheetData>
    <row r="2" spans="2:8" ht="22.5" x14ac:dyDescent="0.3">
      <c r="B2" s="128" t="s">
        <v>25</v>
      </c>
      <c r="C2" s="166"/>
      <c r="D2" s="131"/>
      <c r="E2" s="131"/>
      <c r="F2" s="131"/>
      <c r="G2" s="131"/>
      <c r="H2" s="132"/>
    </row>
    <row r="3" spans="2:8" x14ac:dyDescent="0.25">
      <c r="B3" s="61" t="str">
        <f>+Adjuntos!B2</f>
        <v>UNIVERSIDAD XXX</v>
      </c>
      <c r="C3" s="67"/>
      <c r="D3" s="12"/>
      <c r="E3" s="12"/>
      <c r="F3" s="12"/>
      <c r="G3" s="12"/>
      <c r="H3" s="63"/>
    </row>
    <row r="4" spans="2:8" x14ac:dyDescent="0.25">
      <c r="B4" s="326" t="str">
        <f>+Adjuntos!B4</f>
        <v>Nueva Carrera - Bachillerato en XXX</v>
      </c>
      <c r="C4" s="327"/>
      <c r="D4" s="327"/>
      <c r="E4" s="327"/>
      <c r="F4" s="327"/>
      <c r="G4" s="327"/>
      <c r="H4" s="328"/>
    </row>
    <row r="5" spans="2:8" ht="4.9000000000000004" customHeight="1" x14ac:dyDescent="0.25">
      <c r="B5" s="158"/>
      <c r="C5" s="159"/>
      <c r="D5" s="159"/>
      <c r="E5" s="159"/>
      <c r="F5" s="159"/>
      <c r="G5" s="159"/>
      <c r="H5" s="160"/>
    </row>
    <row r="6" spans="2:8" x14ac:dyDescent="0.25">
      <c r="B6" s="37" t="str">
        <f>+Qn!B6</f>
        <v>Documentos Probatorios 2024</v>
      </c>
      <c r="C6" s="67"/>
      <c r="E6" s="12"/>
      <c r="F6" s="12"/>
      <c r="G6" s="12"/>
      <c r="H6" s="63"/>
    </row>
    <row r="7" spans="2:8" x14ac:dyDescent="0.25">
      <c r="B7" s="37"/>
      <c r="H7" s="38"/>
    </row>
    <row r="8" spans="2:8" x14ac:dyDescent="0.25">
      <c r="B8" s="329" t="s">
        <v>26</v>
      </c>
      <c r="C8" s="330"/>
      <c r="D8" s="330"/>
      <c r="E8" s="330"/>
      <c r="F8" s="330"/>
      <c r="G8" s="330"/>
      <c r="H8" s="331"/>
    </row>
    <row r="9" spans="2:8" x14ac:dyDescent="0.25">
      <c r="B9" s="332"/>
      <c r="C9" s="333"/>
      <c r="D9" s="333"/>
      <c r="E9" s="333"/>
      <c r="F9" s="333"/>
      <c r="G9" s="333"/>
      <c r="H9" s="334"/>
    </row>
    <row r="10" spans="2:8" x14ac:dyDescent="0.25">
      <c r="B10" s="37"/>
      <c r="H10" s="38"/>
    </row>
    <row r="11" spans="2:8" s="2" customFormat="1" ht="15.75" x14ac:dyDescent="0.25">
      <c r="B11" s="79" t="s">
        <v>144</v>
      </c>
      <c r="C11" s="86"/>
      <c r="D11" s="86"/>
      <c r="E11" s="86" t="str">
        <f>Qn!C11</f>
        <v>IC 2024</v>
      </c>
      <c r="F11" s="86" t="str">
        <f>Qn!D11</f>
        <v>IIC 2024</v>
      </c>
      <c r="G11" s="86" t="str">
        <f>Qn!E11</f>
        <v>IIIC 2024</v>
      </c>
      <c r="H11" s="87" t="s">
        <v>27</v>
      </c>
    </row>
    <row r="12" spans="2:8" s="2" customFormat="1" ht="15.75" x14ac:dyDescent="0.25">
      <c r="B12" s="45" t="s">
        <v>148</v>
      </c>
      <c r="C12" s="88"/>
      <c r="D12" s="89"/>
      <c r="E12" s="90">
        <v>3</v>
      </c>
      <c r="F12" s="90">
        <v>3</v>
      </c>
      <c r="G12" s="90">
        <v>3</v>
      </c>
      <c r="H12" s="91">
        <f>AVERAGE(E12:G12)</f>
        <v>3</v>
      </c>
    </row>
    <row r="13" spans="2:8" s="2" customFormat="1" ht="16.5" thickBot="1" x14ac:dyDescent="0.3">
      <c r="B13" s="167"/>
      <c r="H13" s="168"/>
    </row>
    <row r="14" spans="2:8" x14ac:dyDescent="0.25">
      <c r="B14" s="307" t="s">
        <v>159</v>
      </c>
      <c r="C14" s="308"/>
      <c r="D14" s="308"/>
      <c r="E14" s="308"/>
      <c r="F14" s="308"/>
      <c r="G14" s="308"/>
      <c r="H14" s="309"/>
    </row>
    <row r="15" spans="2:8" ht="15.75" thickBot="1" x14ac:dyDescent="0.3">
      <c r="B15" s="310"/>
      <c r="C15" s="311"/>
      <c r="D15" s="311"/>
      <c r="E15" s="311"/>
      <c r="F15" s="311"/>
      <c r="G15" s="311"/>
      <c r="H15" s="312"/>
    </row>
    <row r="16" spans="2:8" x14ac:dyDescent="0.25">
      <c r="B16" s="45"/>
      <c r="C16" s="46"/>
      <c r="D16" s="46"/>
      <c r="E16" s="46"/>
      <c r="F16" s="46"/>
      <c r="G16" s="46"/>
      <c r="H16" s="47"/>
    </row>
  </sheetData>
  <mergeCells count="3">
    <mergeCell ref="B8:H9"/>
    <mergeCell ref="B14:H15"/>
    <mergeCell ref="B4:H4"/>
  </mergeCells>
  <printOptions horizontalCentered="1"/>
  <pageMargins left="0.7" right="0.7" top="0.75" bottom="0.75" header="0.3" footer="0.3"/>
  <pageSetup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B2:G15"/>
  <sheetViews>
    <sheetView showGridLines="0" zoomScaleNormal="100" zoomScaleSheetLayoutView="100" workbookViewId="0">
      <selection activeCell="G8" sqref="G8"/>
    </sheetView>
  </sheetViews>
  <sheetFormatPr baseColWidth="10" defaultColWidth="11.5703125" defaultRowHeight="15" x14ac:dyDescent="0.25"/>
  <cols>
    <col min="1" max="1" width="2.85546875" style="1" customWidth="1"/>
    <col min="2" max="4" width="11.5703125" style="1"/>
    <col min="5" max="6" width="14.7109375" style="1" bestFit="1" customWidth="1"/>
    <col min="7" max="7" width="19.5703125" style="1" bestFit="1" customWidth="1"/>
    <col min="8" max="16384" width="11.5703125" style="1"/>
  </cols>
  <sheetData>
    <row r="2" spans="2:7" ht="25.5" x14ac:dyDescent="0.35">
      <c r="B2" s="169" t="s">
        <v>55</v>
      </c>
      <c r="C2" s="166"/>
      <c r="D2" s="131"/>
      <c r="E2" s="131"/>
      <c r="F2" s="131"/>
      <c r="G2" s="132"/>
    </row>
    <row r="3" spans="2:7" x14ac:dyDescent="0.25">
      <c r="B3" s="61" t="str">
        <f>+Adjuntos!B2</f>
        <v>UNIVERSIDAD XXX</v>
      </c>
      <c r="C3" s="67"/>
      <c r="D3" s="12"/>
      <c r="E3" s="12"/>
      <c r="F3" s="12"/>
      <c r="G3" s="63"/>
    </row>
    <row r="4" spans="2:7" x14ac:dyDescent="0.25">
      <c r="B4" s="61" t="s">
        <v>216</v>
      </c>
      <c r="G4" s="38"/>
    </row>
    <row r="5" spans="2:7" x14ac:dyDescent="0.25">
      <c r="B5" s="133" t="s">
        <v>11</v>
      </c>
      <c r="G5" s="38"/>
    </row>
    <row r="6" spans="2:7" x14ac:dyDescent="0.25">
      <c r="B6" s="37"/>
      <c r="G6" s="38"/>
    </row>
    <row r="7" spans="2:7" x14ac:dyDescent="0.25">
      <c r="B7" s="92" t="s">
        <v>54</v>
      </c>
      <c r="C7" s="93"/>
      <c r="D7" s="93"/>
      <c r="E7" s="93"/>
      <c r="F7" s="93"/>
      <c r="G7" s="94" t="s">
        <v>221</v>
      </c>
    </row>
    <row r="8" spans="2:7" x14ac:dyDescent="0.25">
      <c r="B8" s="95" t="s">
        <v>189</v>
      </c>
      <c r="C8" s="170"/>
      <c r="D8" s="170"/>
      <c r="E8" s="171"/>
      <c r="F8" s="171"/>
      <c r="G8" s="117">
        <v>187821713.44999999</v>
      </c>
    </row>
    <row r="9" spans="2:7" x14ac:dyDescent="0.25">
      <c r="B9" s="95" t="s">
        <v>188</v>
      </c>
      <c r="C9" s="170"/>
      <c r="D9" s="170"/>
      <c r="E9" s="171"/>
      <c r="F9" s="171"/>
      <c r="G9" s="117">
        <v>239124599</v>
      </c>
    </row>
    <row r="10" spans="2:7" x14ac:dyDescent="0.25">
      <c r="B10" s="95" t="s">
        <v>187</v>
      </c>
      <c r="C10" s="170"/>
      <c r="D10" s="170"/>
      <c r="E10" s="171"/>
      <c r="F10" s="171"/>
      <c r="G10" s="117">
        <v>1934359298.8800001</v>
      </c>
    </row>
    <row r="11" spans="2:7" ht="13.9" customHeight="1" x14ac:dyDescent="0.25">
      <c r="B11" s="96" t="s">
        <v>56</v>
      </c>
      <c r="C11" s="97"/>
      <c r="D11" s="97"/>
      <c r="E11" s="98"/>
      <c r="F11" s="98"/>
      <c r="G11" s="119">
        <f>SUM(G8:G10)</f>
        <v>2361305611.3299999</v>
      </c>
    </row>
    <row r="12" spans="2:7" ht="15.75" thickBot="1" x14ac:dyDescent="0.3">
      <c r="B12" s="37"/>
      <c r="G12" s="118"/>
    </row>
    <row r="13" spans="2:7" x14ac:dyDescent="0.25">
      <c r="B13" s="307" t="s">
        <v>159</v>
      </c>
      <c r="C13" s="308"/>
      <c r="D13" s="308"/>
      <c r="E13" s="308"/>
      <c r="F13" s="308"/>
      <c r="G13" s="309"/>
    </row>
    <row r="14" spans="2:7" ht="15.75" thickBot="1" x14ac:dyDescent="0.3">
      <c r="B14" s="310"/>
      <c r="C14" s="311"/>
      <c r="D14" s="311"/>
      <c r="E14" s="311"/>
      <c r="F14" s="311"/>
      <c r="G14" s="312"/>
    </row>
    <row r="15" spans="2:7" x14ac:dyDescent="0.25">
      <c r="B15" s="45"/>
      <c r="C15" s="46"/>
      <c r="D15" s="46"/>
      <c r="E15" s="46"/>
      <c r="F15" s="46"/>
      <c r="G15" s="47"/>
    </row>
  </sheetData>
  <mergeCells count="1">
    <mergeCell ref="B13:G14"/>
  </mergeCells>
  <pageMargins left="0.7" right="0.7" top="0.75" bottom="0.75" header="0.3" footer="0.3"/>
  <pageSetup paperSize="9" orientation="portrait" r:id="rId1"/>
  <ignoredErrors>
    <ignoredError sqref="G1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B2:G19"/>
  <sheetViews>
    <sheetView showGridLines="0" zoomScaleNormal="100" workbookViewId="0">
      <selection activeCell="G8" sqref="G8"/>
    </sheetView>
  </sheetViews>
  <sheetFormatPr baseColWidth="10" defaultColWidth="11.5703125" defaultRowHeight="15" x14ac:dyDescent="0.25"/>
  <cols>
    <col min="1" max="1" width="2.85546875" style="1" customWidth="1"/>
    <col min="2" max="4" width="11.5703125" style="1"/>
    <col min="5" max="6" width="16.140625" style="1" bestFit="1" customWidth="1"/>
    <col min="7" max="7" width="20.85546875" style="1" bestFit="1" customWidth="1"/>
    <col min="8" max="16384" width="11.5703125" style="1"/>
  </cols>
  <sheetData>
    <row r="2" spans="2:7" ht="25.5" x14ac:dyDescent="0.35">
      <c r="B2" s="169" t="s">
        <v>57</v>
      </c>
      <c r="C2" s="166"/>
      <c r="D2" s="131"/>
      <c r="E2" s="131"/>
      <c r="F2" s="131"/>
      <c r="G2" s="132"/>
    </row>
    <row r="3" spans="2:7" x14ac:dyDescent="0.25">
      <c r="B3" s="61" t="str">
        <f>Adjuntos!B2</f>
        <v>UNIVERSIDAD XXX</v>
      </c>
      <c r="C3" s="67"/>
      <c r="D3" s="12"/>
      <c r="E3" s="12"/>
      <c r="F3" s="12"/>
      <c r="G3" s="63"/>
    </row>
    <row r="4" spans="2:7" x14ac:dyDescent="0.25">
      <c r="B4" s="61" t="s">
        <v>216</v>
      </c>
      <c r="G4" s="38"/>
    </row>
    <row r="5" spans="2:7" x14ac:dyDescent="0.25">
      <c r="B5" s="133" t="s">
        <v>11</v>
      </c>
      <c r="G5" s="38"/>
    </row>
    <row r="6" spans="2:7" ht="10.9" customHeight="1" x14ac:dyDescent="0.25">
      <c r="B6" s="37"/>
      <c r="G6" s="38"/>
    </row>
    <row r="7" spans="2:7" x14ac:dyDescent="0.25">
      <c r="B7" s="172" t="s">
        <v>54</v>
      </c>
      <c r="C7" s="173"/>
      <c r="D7" s="173"/>
      <c r="E7" s="173"/>
      <c r="F7" s="173"/>
      <c r="G7" s="174" t="s">
        <v>221</v>
      </c>
    </row>
    <row r="8" spans="2:7" x14ac:dyDescent="0.25">
      <c r="B8" s="37" t="s">
        <v>58</v>
      </c>
      <c r="C8" s="99"/>
      <c r="E8" s="99"/>
      <c r="F8" s="99"/>
      <c r="G8" s="175">
        <v>1220160000</v>
      </c>
    </row>
    <row r="9" spans="2:7" x14ac:dyDescent="0.25">
      <c r="B9" s="37" t="s">
        <v>59</v>
      </c>
      <c r="C9" s="99"/>
      <c r="E9" s="99"/>
      <c r="F9" s="99"/>
      <c r="G9" s="175">
        <v>2988185369.0500002</v>
      </c>
    </row>
    <row r="10" spans="2:7" x14ac:dyDescent="0.25">
      <c r="B10" s="37" t="s">
        <v>60</v>
      </c>
      <c r="C10" s="99"/>
      <c r="E10" s="99"/>
      <c r="F10" s="99"/>
      <c r="G10" s="175">
        <v>33032000</v>
      </c>
    </row>
    <row r="11" spans="2:7" x14ac:dyDescent="0.25">
      <c r="B11" s="37" t="s">
        <v>85</v>
      </c>
      <c r="C11" s="99"/>
      <c r="E11" s="99"/>
      <c r="F11" s="99"/>
      <c r="G11" s="175">
        <v>59780515.579999998</v>
      </c>
    </row>
    <row r="12" spans="2:7" x14ac:dyDescent="0.25">
      <c r="B12" s="37" t="s">
        <v>147</v>
      </c>
      <c r="C12" s="99"/>
      <c r="E12" s="99"/>
      <c r="F12" s="99"/>
      <c r="G12" s="175">
        <v>33865306.539999999</v>
      </c>
    </row>
    <row r="13" spans="2:7" x14ac:dyDescent="0.25">
      <c r="B13" s="37" t="s">
        <v>61</v>
      </c>
      <c r="C13" s="99"/>
      <c r="E13" s="99"/>
      <c r="F13" s="99"/>
      <c r="G13" s="175">
        <v>7405586030.7700005</v>
      </c>
    </row>
    <row r="14" spans="2:7" x14ac:dyDescent="0.25">
      <c r="B14" s="37" t="s">
        <v>62</v>
      </c>
      <c r="C14" s="99"/>
      <c r="E14" s="99"/>
      <c r="F14" s="99"/>
      <c r="G14" s="175">
        <v>5984613360.5299997</v>
      </c>
    </row>
    <row r="15" spans="2:7" x14ac:dyDescent="0.25">
      <c r="B15" s="176" t="s">
        <v>57</v>
      </c>
      <c r="C15" s="177"/>
      <c r="D15" s="177"/>
      <c r="E15" s="177"/>
      <c r="F15" s="177"/>
      <c r="G15" s="178">
        <f>SUM(G8:G14)</f>
        <v>17725222582.470001</v>
      </c>
    </row>
    <row r="16" spans="2:7" ht="15.75" thickBot="1" x14ac:dyDescent="0.3">
      <c r="B16" s="37"/>
      <c r="G16" s="179"/>
    </row>
    <row r="17" spans="2:7" x14ac:dyDescent="0.25">
      <c r="B17" s="335" t="s">
        <v>159</v>
      </c>
      <c r="C17" s="336"/>
      <c r="D17" s="336"/>
      <c r="E17" s="336"/>
      <c r="F17" s="336"/>
      <c r="G17" s="337"/>
    </row>
    <row r="18" spans="2:7" ht="15.75" thickBot="1" x14ac:dyDescent="0.3">
      <c r="B18" s="338"/>
      <c r="C18" s="339"/>
      <c r="D18" s="339"/>
      <c r="E18" s="339"/>
      <c r="F18" s="339"/>
      <c r="G18" s="340"/>
    </row>
    <row r="19" spans="2:7" x14ac:dyDescent="0.25">
      <c r="B19" s="45"/>
      <c r="C19" s="46"/>
      <c r="D19" s="46"/>
      <c r="E19" s="46"/>
      <c r="F19" s="46"/>
      <c r="G19" s="47"/>
    </row>
  </sheetData>
  <mergeCells count="1">
    <mergeCell ref="B17:G18"/>
  </mergeCells>
  <pageMargins left="0.7" right="0.7" top="0.75" bottom="0.75" header="0.3" footer="0.3"/>
  <pageSetup scale="99" orientation="portrait" r:id="rId1"/>
  <ignoredErrors>
    <ignoredError sqref="G1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B2:G32"/>
  <sheetViews>
    <sheetView showGridLines="0" zoomScaleNormal="100" zoomScaleSheetLayoutView="100" workbookViewId="0">
      <selection activeCell="B8" sqref="B8:G8"/>
    </sheetView>
  </sheetViews>
  <sheetFormatPr baseColWidth="10" defaultColWidth="11.5703125" defaultRowHeight="15" x14ac:dyDescent="0.25"/>
  <cols>
    <col min="1" max="1" width="2.85546875" style="1" customWidth="1"/>
    <col min="2" max="4" width="11.5703125" style="1"/>
    <col min="5" max="6" width="14.7109375" style="1" bestFit="1" customWidth="1"/>
    <col min="7" max="7" width="19.5703125" style="1" bestFit="1" customWidth="1"/>
    <col min="8" max="16384" width="11.5703125" style="1"/>
  </cols>
  <sheetData>
    <row r="2" spans="2:7" ht="25.5" x14ac:dyDescent="0.35">
      <c r="B2" s="169" t="s">
        <v>191</v>
      </c>
      <c r="C2" s="166"/>
      <c r="D2" s="131"/>
      <c r="E2" s="131"/>
      <c r="F2" s="131"/>
      <c r="G2" s="132"/>
    </row>
    <row r="3" spans="2:7" x14ac:dyDescent="0.25">
      <c r="B3" s="61" t="str">
        <f>Adjuntos!B2</f>
        <v>UNIVERSIDAD XXX</v>
      </c>
      <c r="C3" s="67"/>
      <c r="D3" s="12"/>
      <c r="E3" s="12"/>
      <c r="F3" s="12"/>
      <c r="G3" s="63"/>
    </row>
    <row r="4" spans="2:7" x14ac:dyDescent="0.25">
      <c r="B4" s="61" t="s">
        <v>216</v>
      </c>
      <c r="G4" s="38"/>
    </row>
    <row r="5" spans="2:7" x14ac:dyDescent="0.25">
      <c r="B5" s="133" t="s">
        <v>11</v>
      </c>
      <c r="G5" s="38"/>
    </row>
    <row r="6" spans="2:7" x14ac:dyDescent="0.25">
      <c r="B6" s="37"/>
      <c r="G6" s="38"/>
    </row>
    <row r="7" spans="2:7" x14ac:dyDescent="0.25">
      <c r="B7" s="92" t="s">
        <v>54</v>
      </c>
      <c r="C7" s="93"/>
      <c r="D7" s="93"/>
      <c r="E7" s="93"/>
      <c r="F7" s="93"/>
      <c r="G7" s="94" t="s">
        <v>221</v>
      </c>
    </row>
    <row r="8" spans="2:7" x14ac:dyDescent="0.25">
      <c r="B8" s="341" t="s">
        <v>211</v>
      </c>
      <c r="C8" s="342"/>
      <c r="D8" s="342"/>
      <c r="E8" s="342"/>
      <c r="F8" s="342"/>
      <c r="G8" s="343"/>
    </row>
    <row r="9" spans="2:7" x14ac:dyDescent="0.25">
      <c r="B9" s="95" t="s">
        <v>197</v>
      </c>
      <c r="C9" s="276"/>
      <c r="D9" s="276"/>
      <c r="E9" s="276"/>
      <c r="F9" s="276"/>
      <c r="G9" s="117">
        <v>2096053.8495049998</v>
      </c>
    </row>
    <row r="10" spans="2:7" x14ac:dyDescent="0.25">
      <c r="B10" s="95" t="s">
        <v>198</v>
      </c>
      <c r="C10" s="276"/>
      <c r="D10" s="276"/>
      <c r="E10" s="276"/>
      <c r="F10" s="276"/>
      <c r="G10" s="117">
        <v>0</v>
      </c>
    </row>
    <row r="11" spans="2:7" x14ac:dyDescent="0.25">
      <c r="B11" s="95" t="s">
        <v>199</v>
      </c>
      <c r="C11" s="276"/>
      <c r="D11" s="276"/>
      <c r="E11" s="276"/>
      <c r="F11" s="276"/>
      <c r="G11" s="117">
        <v>0</v>
      </c>
    </row>
    <row r="12" spans="2:7" x14ac:dyDescent="0.25">
      <c r="B12" s="95" t="s">
        <v>200</v>
      </c>
      <c r="C12" s="276"/>
      <c r="D12" s="276"/>
      <c r="E12" s="276"/>
      <c r="F12" s="276"/>
      <c r="G12" s="117">
        <v>1600372.6222550001</v>
      </c>
    </row>
    <row r="13" spans="2:7" x14ac:dyDescent="0.25">
      <c r="B13" s="95" t="s">
        <v>201</v>
      </c>
      <c r="C13" s="276"/>
      <c r="D13" s="276"/>
      <c r="E13" s="276"/>
      <c r="F13" s="276"/>
      <c r="G13" s="117">
        <v>8.5000000000000006E-5</v>
      </c>
    </row>
    <row r="14" spans="2:7" x14ac:dyDescent="0.25">
      <c r="B14" s="95" t="s">
        <v>202</v>
      </c>
      <c r="C14" s="276"/>
      <c r="D14" s="276"/>
      <c r="E14" s="276"/>
      <c r="F14" s="276"/>
      <c r="G14" s="117">
        <v>3021.9956500000003</v>
      </c>
    </row>
    <row r="15" spans="2:7" x14ac:dyDescent="0.25">
      <c r="B15" s="95" t="s">
        <v>203</v>
      </c>
      <c r="C15" s="276"/>
      <c r="D15" s="276"/>
      <c r="E15" s="276"/>
      <c r="F15" s="276"/>
      <c r="G15" s="117">
        <v>5043069.0009850003</v>
      </c>
    </row>
    <row r="16" spans="2:7" x14ac:dyDescent="0.25">
      <c r="B16" s="95" t="s">
        <v>204</v>
      </c>
      <c r="C16" s="276"/>
      <c r="D16" s="276"/>
      <c r="E16" s="276"/>
      <c r="F16" s="276"/>
      <c r="G16" s="117">
        <v>710266.42863500002</v>
      </c>
    </row>
    <row r="17" spans="2:7" x14ac:dyDescent="0.25">
      <c r="B17" s="95" t="s">
        <v>205</v>
      </c>
      <c r="C17" s="276"/>
      <c r="D17" s="276"/>
      <c r="E17" s="276"/>
      <c r="F17" s="276"/>
      <c r="G17" s="117">
        <v>1921254.6816750003</v>
      </c>
    </row>
    <row r="18" spans="2:7" x14ac:dyDescent="0.25">
      <c r="B18" s="95" t="s">
        <v>206</v>
      </c>
      <c r="C18" s="276"/>
      <c r="D18" s="276"/>
      <c r="E18" s="276"/>
      <c r="F18" s="276"/>
      <c r="G18" s="117">
        <v>15629492.653005</v>
      </c>
    </row>
    <row r="19" spans="2:7" x14ac:dyDescent="0.25">
      <c r="B19" s="280" t="s">
        <v>212</v>
      </c>
      <c r="C19" s="286"/>
      <c r="D19" s="286"/>
      <c r="E19" s="286"/>
      <c r="F19" s="286"/>
      <c r="G19" s="278">
        <f>SUM(G9:G18)</f>
        <v>27003531.231794998</v>
      </c>
    </row>
    <row r="20" spans="2:7" x14ac:dyDescent="0.25">
      <c r="B20" s="61"/>
      <c r="C20" s="276"/>
      <c r="D20" s="276"/>
      <c r="E20" s="276"/>
      <c r="F20" s="276"/>
      <c r="G20" s="277"/>
    </row>
    <row r="21" spans="2:7" x14ac:dyDescent="0.25">
      <c r="B21" s="341" t="s">
        <v>213</v>
      </c>
      <c r="C21" s="342"/>
      <c r="D21" s="342"/>
      <c r="E21" s="342"/>
      <c r="F21" s="342"/>
      <c r="G21" s="343"/>
    </row>
    <row r="22" spans="2:7" x14ac:dyDescent="0.25">
      <c r="B22" s="95" t="s">
        <v>207</v>
      </c>
      <c r="C22" s="170"/>
      <c r="D22" s="170"/>
      <c r="E22" s="171"/>
      <c r="F22" s="171"/>
      <c r="G22" s="117">
        <v>291417.74025500001</v>
      </c>
    </row>
    <row r="23" spans="2:7" x14ac:dyDescent="0.25">
      <c r="B23" s="95" t="s">
        <v>208</v>
      </c>
      <c r="C23" s="170"/>
      <c r="D23" s="170"/>
      <c r="E23" s="171"/>
      <c r="F23" s="171"/>
      <c r="G23" s="117">
        <v>738270.50755500002</v>
      </c>
    </row>
    <row r="24" spans="2:7" x14ac:dyDescent="0.25">
      <c r="B24" s="95" t="s">
        <v>209</v>
      </c>
      <c r="C24" s="170"/>
      <c r="D24" s="170"/>
      <c r="E24" s="171"/>
      <c r="F24" s="171"/>
      <c r="G24" s="117">
        <v>6700069.1928250007</v>
      </c>
    </row>
    <row r="25" spans="2:7" x14ac:dyDescent="0.25">
      <c r="B25" s="95" t="s">
        <v>210</v>
      </c>
      <c r="C25" s="170"/>
      <c r="D25" s="170"/>
      <c r="E25" s="171"/>
      <c r="F25" s="171"/>
      <c r="G25" s="117">
        <v>47940649.003135011</v>
      </c>
    </row>
    <row r="26" spans="2:7" x14ac:dyDescent="0.25">
      <c r="B26" s="280" t="s">
        <v>214</v>
      </c>
      <c r="C26" s="281"/>
      <c r="D26" s="281"/>
      <c r="E26" s="282"/>
      <c r="F26" s="282"/>
      <c r="G26" s="278">
        <f>SUM(G22:G25)</f>
        <v>55670406.443770014</v>
      </c>
    </row>
    <row r="27" spans="2:7" x14ac:dyDescent="0.25">
      <c r="B27" s="61"/>
      <c r="C27" s="12"/>
      <c r="D27" s="12"/>
      <c r="E27" s="287"/>
      <c r="F27" s="287"/>
      <c r="G27" s="277"/>
    </row>
    <row r="28" spans="2:7" x14ac:dyDescent="0.25">
      <c r="B28" s="283" t="s">
        <v>215</v>
      </c>
      <c r="C28" s="284"/>
      <c r="D28" s="284"/>
      <c r="E28" s="285"/>
      <c r="F28" s="285"/>
      <c r="G28" s="279">
        <f>+G26+G19</f>
        <v>82673937.675565004</v>
      </c>
    </row>
    <row r="29" spans="2:7" ht="15.75" thickBot="1" x14ac:dyDescent="0.3">
      <c r="B29" s="37"/>
      <c r="G29" s="118"/>
    </row>
    <row r="30" spans="2:7" x14ac:dyDescent="0.25">
      <c r="B30" s="307" t="s">
        <v>159</v>
      </c>
      <c r="C30" s="308"/>
      <c r="D30" s="308"/>
      <c r="E30" s="308"/>
      <c r="F30" s="308"/>
      <c r="G30" s="309"/>
    </row>
    <row r="31" spans="2:7" ht="15.75" thickBot="1" x14ac:dyDescent="0.3">
      <c r="B31" s="310"/>
      <c r="C31" s="311"/>
      <c r="D31" s="311"/>
      <c r="E31" s="311"/>
      <c r="F31" s="311"/>
      <c r="G31" s="312"/>
    </row>
    <row r="32" spans="2:7" x14ac:dyDescent="0.25">
      <c r="B32" s="45"/>
      <c r="C32" s="46"/>
      <c r="D32" s="46"/>
      <c r="E32" s="46"/>
      <c r="F32" s="46"/>
      <c r="G32" s="47"/>
    </row>
  </sheetData>
  <mergeCells count="3">
    <mergeCell ref="B30:G31"/>
    <mergeCell ref="B8:G8"/>
    <mergeCell ref="B21:G2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BCC15400569442B84F03645001AD21" ma:contentTypeVersion="15" ma:contentTypeDescription="Crear nuevo documento." ma:contentTypeScope="" ma:versionID="2f070928e781c045ab8191b9e0444124">
  <xsd:schema xmlns:xsd="http://www.w3.org/2001/XMLSchema" xmlns:xs="http://www.w3.org/2001/XMLSchema" xmlns:p="http://schemas.microsoft.com/office/2006/metadata/properties" xmlns:ns2="565cc389-76c5-4a24-9b71-55108466e720" xmlns:ns3="42aa7d1e-7b3d-40c5-8396-df26cc395eaa" targetNamespace="http://schemas.microsoft.com/office/2006/metadata/properties" ma:root="true" ma:fieldsID="ea73f90f8e9cf36ec94d5a775341cdb8" ns2:_="" ns3:_="">
    <xsd:import namespace="565cc389-76c5-4a24-9b71-55108466e720"/>
    <xsd:import namespace="42aa7d1e-7b3d-40c5-8396-df26cc395e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cc389-76c5-4a24-9b71-55108466e7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8317f7a-e51f-48a4-8b73-2ef4039f9060}" ma:internalName="TaxCatchAll" ma:showField="CatchAllData" ma:web="565cc389-76c5-4a24-9b71-55108466e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a7d1e-7b3d-40c5-8396-df26cc395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8115887-cdc3-4f46-b99a-2756c4b594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aa7d1e-7b3d-40c5-8396-df26cc395eaa">
      <Terms xmlns="http://schemas.microsoft.com/office/infopath/2007/PartnerControls"/>
    </lcf76f155ced4ddcb4097134ff3c332f>
    <TaxCatchAll xmlns="565cc389-76c5-4a24-9b71-55108466e72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3C2250-C251-4C2F-8B51-552975446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cc389-76c5-4a24-9b71-55108466e720"/>
    <ds:schemaRef ds:uri="42aa7d1e-7b3d-40c5-8396-df26cc395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3472EC-9DFC-4465-8E08-E1905BDE18BF}">
  <ds:schemaRefs>
    <ds:schemaRef ds:uri="http://schemas.microsoft.com/office/2006/metadata/properties"/>
    <ds:schemaRef ds:uri="http://schemas.microsoft.com/office/infopath/2007/PartnerControls"/>
    <ds:schemaRef ds:uri="42aa7d1e-7b3d-40c5-8396-df26cc395eaa"/>
    <ds:schemaRef ds:uri="565cc389-76c5-4a24-9b71-55108466e720"/>
  </ds:schemaRefs>
</ds:datastoreItem>
</file>

<file path=customXml/itemProps3.xml><?xml version="1.0" encoding="utf-8"?>
<ds:datastoreItem xmlns:ds="http://schemas.openxmlformats.org/officeDocument/2006/customXml" ds:itemID="{C609ADAC-957D-4B1A-B4F7-B16DBE1EB9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Supuestos</vt:lpstr>
      <vt:lpstr>CAPM-WACC</vt:lpstr>
      <vt:lpstr>GOA</vt:lpstr>
      <vt:lpstr>GFA</vt:lpstr>
      <vt:lpstr>Qn</vt:lpstr>
      <vt:lpstr>CAx</vt:lpstr>
      <vt:lpstr>DF</vt:lpstr>
      <vt:lpstr>Pat</vt:lpstr>
      <vt:lpstr>Pt</vt:lpstr>
      <vt:lpstr>Kd</vt:lpstr>
      <vt:lpstr>PA</vt:lpstr>
      <vt:lpstr>t</vt:lpstr>
      <vt:lpstr>Calculo de Tarifas</vt:lpstr>
      <vt:lpstr>Tarifas Propuestas</vt:lpstr>
      <vt:lpstr>Adjuntos</vt:lpstr>
      <vt:lpstr>'CAPM-WACC'!Área_de_impresión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Joselyn Gurdian Tenorio</dc:creator>
  <cp:lastModifiedBy>Gerardo Alejandro Cascante Calvo</cp:lastModifiedBy>
  <cp:lastPrinted>2020-11-10T00:19:33Z</cp:lastPrinted>
  <dcterms:created xsi:type="dcterms:W3CDTF">2019-10-18T16:36:22Z</dcterms:created>
  <dcterms:modified xsi:type="dcterms:W3CDTF">2024-01-22T15:57:51Z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0x010100EFBCC15400569442B84F03645001AD21</vt:lpwstr>
  </property>
  <property fmtid="{D5CDD505-2E9C-101B-9397-08002B2CF9AE}" pid="3" name="MediaServiceImageTags">
    <vt:lpwstr/>
  </property>
</Properties>
</file>